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0" windowWidth="20985" windowHeight="13275" activeTab="0"/>
  </bookViews>
  <sheets>
    <sheet name="Planner" sheetId="1" r:id="rId1"/>
    <sheet name="Info-Tabellen" sheetId="2" r:id="rId2"/>
  </sheets>
  <definedNames>
    <definedName name="Aard_bier">'Planner'!$E$4</definedName>
    <definedName name="Aardbier">'Planner'!$M$3</definedName>
    <definedName name="adviessuiker">'Planner'!$B$48</definedName>
    <definedName name="_xlnm.Print_Area" localSheetId="0">'Planner'!$A$1:$N$65</definedName>
    <definedName name="alcogewicht">'Planner'!$M$42</definedName>
    <definedName name="alconalager">'Planner'!$G$46</definedName>
    <definedName name="altliters">'Planner'!$D$69</definedName>
    <definedName name="ATNfactor">'Planner'!$L$9</definedName>
    <definedName name="Bekomenliter">'Planner'!$M$43</definedName>
    <definedName name="Beslag">'Planner'!$F$1</definedName>
    <definedName name="botdatum">'Planner'!$L$2</definedName>
    <definedName name="botsuikervlgsalco">'Planner'!$J$45</definedName>
    <definedName name="botsuikervlgskleur">'Planner'!$L$45</definedName>
    <definedName name="Brixratio">'Planner'!$M$16</definedName>
    <definedName name="CORstamplato">'Planner'!$L$19</definedName>
    <definedName name="corsuiker">'Planner'!$J$50</definedName>
    <definedName name="CorSVG">'Planner'!$K$21</definedName>
    <definedName name="Diktefactor">'Planner'!$H$1</definedName>
    <definedName name="effic">'Planner'!$H$2</definedName>
    <definedName name="Eindcijfer">'Planner'!$C$46</definedName>
    <definedName name="Eindplato">'Planner'!$E$46</definedName>
    <definedName name="EindSG">'Planner'!$D$46</definedName>
    <definedName name="Eiwitrust">'Planner'!$H$25</definedName>
    <definedName name="Gewenste_liters">'Planner'!$B$3</definedName>
    <definedName name="gistmetstamplato">'Planner'!$I$42</definedName>
    <definedName name="gistplusbkmSG">'Planner'!$K$42</definedName>
    <definedName name="gisttabel">'Planner'!$P$7:$T$29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tabel">'Planner'!$P$38:$T$51</definedName>
    <definedName name="ketelinvloed">'Planner'!$Q$54</definedName>
    <definedName name="kleur">'Planner'!$F$24</definedName>
    <definedName name="Kooktijd">'Planner'!$L$8</definedName>
    <definedName name="MaischSG">'Planner'!$J$11</definedName>
    <definedName name="Maltodexplato">'Planner'!$M$14</definedName>
    <definedName name="mashfactor">'Planner'!$E$25</definedName>
    <definedName name="mashpercent">'Planner'!$M$10</definedName>
    <definedName name="mashplato">'Planner'!$L$11</definedName>
    <definedName name="mashwater">'Planner'!$B$26</definedName>
    <definedName name="meter">'Planner'!$B$43</definedName>
    <definedName name="meternadien">'Planner'!$B$46</definedName>
    <definedName name="moutkilos">'Planner'!$M$6</definedName>
    <definedName name="moutkleur">'Planner'!$K$9</definedName>
    <definedName name="mouttemp">'Planner'!$B$25</definedName>
    <definedName name="nietvergist">'Planner'!$M$47</definedName>
    <definedName name="Restextract">'Planner'!$L$42</definedName>
    <definedName name="Stambrix">'Planner'!$G$43</definedName>
    <definedName name="Stamplato">'Planner'!$E$43</definedName>
    <definedName name="StamSG">'Planner'!$D$43</definedName>
    <definedName name="Stamwort">'Planner'!$C$43</definedName>
    <definedName name="StamwortSG">'Planner'!$J$15</definedName>
    <definedName name="Starter">'Planner'!$J$17</definedName>
    <definedName name="suikergift">'Planner'!$B$50</definedName>
    <definedName name="suikerpercent">'Planner'!$M$12</definedName>
    <definedName name="Suikerplato">'Planner'!$L$13</definedName>
    <definedName name="suikersoort">'Planner'!$B$49</definedName>
    <definedName name="SVGopmout">'Planner'!$M$9</definedName>
    <definedName name="SVGopsuiker">'Planner'!$K$22</definedName>
    <definedName name="TABLE" localSheetId="1">'Info-Tabellen'!$A$1:$E$6</definedName>
    <definedName name="TABLE_2" localSheetId="1">'Info-Tabellen'!$A$6:$E$14</definedName>
    <definedName name="tempverlies">'Planner'!$L$6</definedName>
    <definedName name="ToegevLiter">'Planner'!$H$42</definedName>
    <definedName name="Totaalkg">'Planner'!$D$23</definedName>
    <definedName name="totaalvolume">'Planner'!$M$8</definedName>
    <definedName name="totplato">'Planner'!$E$23</definedName>
    <definedName name="verkookpercent">'Planner'!$Q$55</definedName>
    <definedName name="verkookwater">'Planner'!$S$56</definedName>
    <definedName name="voorkeurkooktyd">'Planner'!$J$9</definedName>
    <definedName name="voorlopigSVG">'Planner'!$M$18</definedName>
    <definedName name="voorsp_eindplato">'Planner'!$L$24</definedName>
    <definedName name="voorsp_eindSG">'Planner'!$J$24</definedName>
    <definedName name="VSPalcogewicht">'Planner'!$M$24</definedName>
    <definedName name="VSPalcvol">'Planner'!$L$27</definedName>
    <definedName name="VSPrestextract">'Planner'!$M$23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>Een tevreden gebruiker van Microsoft Office</author>
    <author>Ronald BAERT</author>
    <author>OEM</author>
    <author>R Baert</author>
    <author>Ronbaert</author>
  </authors>
  <commentList>
    <comment ref="B3" authorId="0">
      <text>
        <r>
          <rPr>
            <b/>
            <sz val="8"/>
            <rFont val="Tahoma"/>
            <family val="2"/>
          </rPr>
          <t>Het volume wort dat u net vóór het bottelen wil hebben</t>
        </r>
      </text>
    </comment>
    <comment ref="M3" authorId="1">
      <text>
        <r>
          <rPr>
            <b/>
            <sz val="8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4" authorId="2">
      <text>
        <r>
          <rPr>
            <b/>
            <sz val="8"/>
            <rFont val="Tahoma"/>
            <family val="2"/>
          </rPr>
          <t>°Plato is % Extract (in gram per 100 gram en niet in g/100 ml) !</t>
        </r>
        <r>
          <rPr>
            <sz val="8"/>
            <rFont val="Tahoma"/>
            <family val="2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2"/>
          </rPr>
          <t>Deze kolom is
% aandeel
in gewicht!</t>
        </r>
        <r>
          <rPr>
            <sz val="8"/>
            <rFont val="Tahoma"/>
            <family val="2"/>
          </rPr>
          <t xml:space="preserve">
</t>
        </r>
      </text>
    </comment>
    <comment ref="A19" authorId="3">
      <text>
        <r>
          <rPr>
            <sz val="8"/>
            <rFont val="Tahoma"/>
            <family val="2"/>
          </rPr>
          <t>IDEM, voor dextrose kan opbrengst hoger zijn afhankelijk van merk (wateraandeel)</t>
        </r>
      </text>
    </comment>
    <comment ref="A20" authorId="3">
      <text>
        <r>
          <rPr>
            <b/>
            <sz val="8"/>
            <rFont val="Tahoma"/>
            <family val="2"/>
          </rPr>
          <t>IDEM</t>
        </r>
      </text>
    </comment>
    <comment ref="A21" authorId="1">
      <text>
        <r>
          <rPr>
            <b/>
            <sz val="8"/>
            <rFont val="Tahoma"/>
            <family val="2"/>
          </rPr>
          <t>Is een additief met zeer geringe vergist-baarheid, geeft</t>
        </r>
        <r>
          <rPr>
            <b/>
            <sz val="8"/>
            <rFont val="Tahoma"/>
            <family val="2"/>
          </rPr>
          <t xml:space="preserve"> body en een weinig zoet, bij einde koken toevoegen.
Andere benaming: "Brewbody"</t>
        </r>
      </text>
    </comment>
    <comment ref="H4" authorId="1">
      <text>
        <r>
          <rPr>
            <b/>
            <sz val="8"/>
            <rFont val="Tahoma"/>
            <family val="2"/>
          </rPr>
          <t>Deze kolom is
% aandeel in
Extract en niet
in gewicht!</t>
        </r>
        <r>
          <rPr>
            <sz val="8"/>
            <rFont val="Tahoma"/>
            <family val="2"/>
          </rPr>
          <t xml:space="preserve">
</t>
        </r>
      </text>
    </comment>
    <comment ref="A22" authorId="1">
      <text>
        <r>
          <rPr>
            <b/>
            <sz val="8"/>
            <rFont val="Tahoma"/>
            <family val="2"/>
          </rPr>
          <t>Kleurstof</t>
        </r>
        <r>
          <rPr>
            <sz val="8"/>
            <rFont val="Tahoma"/>
            <family val="2"/>
          </rPr>
          <t xml:space="preserve"> toe te voegen bij einde koken (na alle hopgift)
</t>
        </r>
      </text>
    </comment>
    <comment ref="D22" authorId="2">
      <text>
        <r>
          <rPr>
            <b/>
            <sz val="8"/>
            <rFont val="Tahoma"/>
            <family val="2"/>
          </rPr>
          <t>in gram:</t>
        </r>
        <r>
          <rPr>
            <sz val="8"/>
            <rFont val="Tahoma"/>
            <family val="2"/>
          </rPr>
          <t xml:space="preserve">
1cl weegt 12,5 gram</t>
        </r>
      </text>
    </comment>
    <comment ref="H2" authorId="1">
      <text>
        <r>
          <rPr>
            <b/>
            <sz val="8"/>
            <rFont val="Tahoma"/>
            <family val="2"/>
          </rPr>
          <t>Rendement van uw installatie, werkwijze, en correctie op betere en slechtere grondstoffen</t>
        </r>
      </text>
    </comment>
    <comment ref="K6" authorId="1">
      <text>
        <r>
          <rPr>
            <b/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H25" authorId="1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B33" authorId="2">
      <text>
        <r>
          <rPr>
            <b/>
            <sz val="8"/>
            <rFont val="Tahoma"/>
            <family val="2"/>
          </rPr>
          <t>Geef op:
PELL = Pellets
BLM = Bellen (bloemen)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E33" authorId="2">
      <text>
        <r>
          <rPr>
            <b/>
            <sz val="8"/>
            <rFont val="Tahoma"/>
            <family val="2"/>
          </rPr>
          <t>Tijdstip van toevoegen = minuten na start koken</t>
        </r>
        <r>
          <rPr>
            <sz val="8"/>
            <rFont val="Tahoma"/>
            <family val="2"/>
          </rPr>
          <t xml:space="preserve">
</t>
        </r>
      </text>
    </comment>
    <comment ref="A39" authorId="2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39" authorId="2">
      <text>
        <r>
          <rPr>
            <b/>
            <sz val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39" authorId="2">
      <text>
        <r>
          <rPr>
            <b/>
            <sz val="8"/>
            <rFont val="Tahoma"/>
            <family val="2"/>
          </rPr>
          <t>de waarde die op het flesje staat</t>
        </r>
        <r>
          <rPr>
            <sz val="8"/>
            <rFont val="Tahoma"/>
            <family val="2"/>
          </rPr>
          <t xml:space="preserve">
</t>
        </r>
      </text>
    </comment>
    <comment ref="E39" authorId="2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K33" authorId="2">
      <text>
        <r>
          <rPr>
            <b/>
            <sz val="8"/>
            <rFont val="Tahoma"/>
            <family val="2"/>
          </rPr>
          <t>gram, cl, cm, stuks...</t>
        </r>
        <r>
          <rPr>
            <sz val="8"/>
            <rFont val="Tahoma"/>
            <family val="2"/>
          </rPr>
          <t xml:space="preserve">
</t>
        </r>
      </text>
    </comment>
    <comment ref="L33" authorId="2">
      <text>
        <r>
          <rPr>
            <b/>
            <sz val="8"/>
            <rFont val="Tahoma"/>
            <family val="2"/>
          </rPr>
          <t>Tijdstip van toevoegen = minuten na start koken</t>
        </r>
        <r>
          <rPr>
            <sz val="8"/>
            <rFont val="Tahoma"/>
            <family val="2"/>
          </rPr>
          <t xml:space="preserve">
</t>
        </r>
      </text>
    </comment>
    <comment ref="C46" authorId="2">
      <text>
        <r>
          <rPr>
            <b/>
            <sz val="8"/>
            <color indexed="10"/>
            <rFont val="Tahoma"/>
            <family val="2"/>
          </rPr>
          <t>Vul het S.G. of de °Plato in volgens hiernaast gekozen methode.</t>
        </r>
      </text>
    </comment>
    <comment ref="D69" authorId="1">
      <text>
        <r>
          <rPr>
            <b/>
            <sz val="10"/>
            <rFont val="Tahoma"/>
            <family val="2"/>
          </rPr>
          <t>Vul alternatief volume in</t>
        </r>
        <r>
          <rPr>
            <sz val="8"/>
            <rFont val="Tahoma"/>
            <family val="2"/>
          </rPr>
          <t xml:space="preserve">
</t>
        </r>
      </text>
    </comment>
    <comment ref="M32" authorId="1">
      <text>
        <r>
          <rPr>
            <sz val="8"/>
            <rFont val="Tahoma"/>
            <family val="2"/>
          </rPr>
          <t xml:space="preserve">Nodige vermogen in killoWatt  v.b. brander
</t>
        </r>
      </text>
    </comment>
    <comment ref="F1" authorId="1">
      <text>
        <r>
          <rPr>
            <b/>
            <sz val="8"/>
            <color indexed="10"/>
            <rFont val="Tahoma"/>
            <family val="2"/>
          </rPr>
          <t>duN beslag voor droogste bier, Dik voor volmondiger bier.</t>
        </r>
      </text>
    </comment>
    <comment ref="A18" authorId="3">
      <text>
        <r>
          <rPr>
            <sz val="8"/>
            <rFont val="Tahoma"/>
            <family val="0"/>
          </rPr>
          <t>Dit ingrediënt gaat niet in het beslag, wel in de kook-ketel, zuiver suiker heeft dus 100% extractie factor</t>
        </r>
      </text>
    </comment>
    <comment ref="B43" authorId="4">
      <text>
        <r>
          <rPr>
            <b/>
            <sz val="9"/>
            <rFont val="Tahoma"/>
            <family val="0"/>
          </rPr>
          <t>Kies °P, Brix of SG</t>
        </r>
        <r>
          <rPr>
            <sz val="9"/>
            <rFont val="Tahoma"/>
            <family val="0"/>
          </rPr>
          <t xml:space="preserve">
</t>
        </r>
      </text>
    </comment>
    <comment ref="B46" authorId="4">
      <text>
        <r>
          <rPr>
            <b/>
            <sz val="9"/>
            <rFont val="Tahoma"/>
            <family val="0"/>
          </rPr>
          <t>Kies °P of SG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<sst xmlns="http://schemas.openxmlformats.org/spreadsheetml/2006/main" count="764" uniqueCount="686">
  <si>
    <t xml:space="preserve"> &lt; Naam Bier</t>
  </si>
  <si>
    <t>Brouwdatum &gt;</t>
  </si>
  <si>
    <t>Botteldatum &gt;</t>
  </si>
  <si>
    <r>
      <t xml:space="preserve">Gewenste liters </t>
    </r>
    <r>
      <rPr>
        <b/>
        <sz val="10"/>
        <color indexed="12"/>
        <rFont val="Arial Narrow"/>
        <family val="2"/>
      </rPr>
      <t>&gt;&gt;</t>
    </r>
  </si>
  <si>
    <t>Gist &gt;&gt;</t>
  </si>
  <si>
    <t>"Efficiëntie" &gt;</t>
  </si>
  <si>
    <t>Grondstoffen</t>
  </si>
  <si>
    <t>Opbrengst</t>
  </si>
  <si>
    <t>EBC-kleur</t>
  </si>
  <si>
    <t>°PLATO</t>
  </si>
  <si>
    <t>EBC</t>
  </si>
  <si>
    <t>%Gew.</t>
  </si>
  <si>
    <t>Maisvlokken / Maseline</t>
  </si>
  <si>
    <t>Havervlokken</t>
  </si>
  <si>
    <t>Overschrijf / vul in</t>
  </si>
  <si>
    <t>Kristalsuiker</t>
  </si>
  <si>
    <t>Dextrose</t>
  </si>
  <si>
    <t>Blond rietsuiker</t>
  </si>
  <si>
    <t>Maltodextrine (8 D.E.)</t>
  </si>
  <si>
    <t>Totalen&gt;&gt;</t>
  </si>
  <si>
    <t>&lt;kleur na koken</t>
  </si>
  <si>
    <t>%Plato</t>
  </si>
  <si>
    <r>
      <t xml:space="preserve">kg </t>
    </r>
    <r>
      <rPr>
        <sz val="10"/>
        <color indexed="8"/>
        <rFont val="Wingdings"/>
        <family val="0"/>
      </rPr>
      <t>â</t>
    </r>
  </si>
  <si>
    <t>op graan &gt;</t>
  </si>
  <si>
    <t>op suiker &gt;</t>
  </si>
  <si>
    <t>eiwitrust ? &gt;</t>
  </si>
  <si>
    <t>water van</t>
  </si>
  <si>
    <t>meet + corrigeer na 10' de pH (5,4)</t>
  </si>
  <si>
    <t>Max.80°</t>
  </si>
  <si>
    <t>STOP spoelen bij SG</t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</si>
  <si>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</si>
  <si>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</si>
  <si>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</si>
  <si>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</si>
  <si>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>Kruiden / Zouten</t>
  </si>
  <si>
    <t>BLM</t>
  </si>
  <si>
    <t>- - -</t>
  </si>
  <si>
    <t>Totaal IBU &gt;&gt;</t>
  </si>
  <si>
    <t>opm.</t>
  </si>
  <si>
    <t>Te verwachten alc.</t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</si>
  <si>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</si>
  <si>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r>
      <t xml:space="preserve">in gistvat </t>
    </r>
    <r>
      <rPr>
        <sz val="8"/>
        <color indexed="8"/>
        <rFont val="Wingdings"/>
        <family val="0"/>
      </rPr>
      <t>â</t>
    </r>
  </si>
  <si>
    <t>Wort nodig</t>
  </si>
  <si>
    <t>IBU bij niet-afgegoten starter &gt;&gt;</t>
  </si>
  <si>
    <t>Pas spoelwater aan tot pH ±5,6</t>
  </si>
  <si>
    <t>Kies een meetinstrument &gt;</t>
  </si>
  <si>
    <t>Storten in &gt;</t>
  </si>
  <si>
    <t>nodige spoelwater &gt;</t>
  </si>
  <si>
    <t>tijdstip</t>
  </si>
  <si>
    <t>aantal</t>
  </si>
  <si>
    <t>(Nadien)</t>
  </si>
  <si>
    <t>SVG op Mout</t>
  </si>
  <si>
    <t>SVG op Suiker</t>
  </si>
  <si>
    <t>Gistsoort</t>
  </si>
  <si>
    <t>Beschrijving</t>
  </si>
  <si>
    <t>z.spec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</si>
  <si>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</si>
  <si>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</si>
  <si>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</si>
  <si>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Bekomen liters na koelen &gt;</t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</si>
  <si>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</si>
  <si>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</si>
  <si>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Kies terug meetinstrument &gt;</t>
  </si>
  <si>
    <t>NA DE HOOFDGISTING: noteer SG of °P hevelen &gt;</t>
  </si>
  <si>
    <t>Noteer heveldatum &gt;</t>
  </si>
  <si>
    <t>noteer de lagertemp &gt;</t>
  </si>
  <si>
    <t>Brouwzaalrendement &gt;</t>
  </si>
  <si>
    <t>De gemeten pH &gt;</t>
  </si>
  <si>
    <t>Einde Koken,advies pH best tussen 5,1 en 5,4.</t>
  </si>
  <si>
    <t>Schijnbare Vergistings Graad &gt;</t>
  </si>
  <si>
    <t xml:space="preserve">  Werkelijke Vergistings Graad &gt;</t>
  </si>
  <si>
    <t>Bottelen:</t>
  </si>
  <si>
    <t>Suikergift &gt;</t>
  </si>
  <si>
    <t>Dan is suikergift &gt;</t>
  </si>
  <si>
    <t>J</t>
  </si>
  <si>
    <t>Advies Maischwater &gt;</t>
  </si>
  <si>
    <t>&lt; Advies Vergist T°</t>
  </si>
  <si>
    <t>Toegepaste T° &gt;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</si>
  <si>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</si>
  <si>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Resultaten</t>
    </r>
    <r>
      <rPr>
        <b/>
        <sz val="10"/>
        <color indexed="8"/>
        <rFont val="Arial Narrow"/>
        <family val="2"/>
      </rPr>
      <t xml:space="preserve"> vóór het bottelen</t>
    </r>
    <r>
      <rPr>
        <sz val="10"/>
        <color indexed="8"/>
        <rFont val="Wingdings"/>
        <family val="0"/>
      </rPr>
      <t></t>
    </r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</si>
  <si>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</si>
  <si>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RAS</t>
  </si>
  <si>
    <t>A=Aroma B=Bitter U=Universeel</t>
  </si>
  <si>
    <t>vul in</t>
  </si>
  <si>
    <t>U</t>
  </si>
  <si>
    <t>Fruitig, harsachtig</t>
  </si>
  <si>
    <t>Fruitig, kruidig</t>
  </si>
  <si>
    <t>A</t>
  </si>
  <si>
    <t>Fijn aroma, IPA's Ales..</t>
  </si>
  <si>
    <t>Mild, kruidiger dan East Kent Gold</t>
  </si>
  <si>
    <t>Zeer fijn aroma, licht kruidig, Trappist.</t>
  </si>
  <si>
    <t>Universeel, licht kruidig.</t>
  </si>
  <si>
    <t>B</t>
  </si>
  <si>
    <t>Aangenaam Fruitig</t>
  </si>
  <si>
    <t>Alleen bij donkere bieren</t>
  </si>
  <si>
    <t>Fijn, Pilsen.</t>
  </si>
  <si>
    <t>Bloemig, grasachtig.</t>
  </si>
  <si>
    <t>Bloemig, citrus, fris, hoppig.</t>
  </si>
  <si>
    <t>Hoofdzakelijk bitteren</t>
  </si>
  <si>
    <t xml:space="preserve">INFO: HOP.  </t>
  </si>
  <si>
    <t>Gemiddeld alfazuur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</si>
  <si>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</si>
  <si>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t>Vul in</t>
  </si>
  <si>
    <t>-</t>
  </si>
  <si>
    <t>Target (bitter)</t>
  </si>
  <si>
    <t>Brewers Gold (univ.)</t>
  </si>
  <si>
    <t>Cascade (aroma)</t>
  </si>
  <si>
    <t>Challenger (univ.)</t>
  </si>
  <si>
    <t>Hallertau Perle (univ.)</t>
  </si>
  <si>
    <t>Magnum (HallertMagn)Univ.</t>
  </si>
  <si>
    <t>Saaz (aroma)</t>
  </si>
  <si>
    <t>Styrian Goldings (aroma)</t>
  </si>
  <si>
    <t>East Kent Golding (aroma)</t>
  </si>
  <si>
    <t>Fuggles (aroma)</t>
  </si>
  <si>
    <t>Hallertau Mittelfrüh (aroma)</t>
  </si>
  <si>
    <t>Northern Brewer (Bitter)</t>
  </si>
  <si>
    <t>koriander, geplet</t>
  </si>
  <si>
    <t>g</t>
  </si>
  <si>
    <t>cm</t>
  </si>
  <si>
    <t>vanille (lint)</t>
  </si>
  <si>
    <t>kaneelstok</t>
  </si>
  <si>
    <t>stuks</t>
  </si>
  <si>
    <t>cardemom</t>
  </si>
  <si>
    <t>sterranijs</t>
  </si>
  <si>
    <t>gedr.appelsienschil</t>
  </si>
  <si>
    <t>Temperatuur hergisting &gt;</t>
  </si>
  <si>
    <t>duurtijd &gt;</t>
  </si>
  <si>
    <t>gistsoort hergisting &gt;</t>
  </si>
  <si>
    <t>Smaak en mondgevoel:</t>
  </si>
  <si>
    <t>Uiterlijk:</t>
  </si>
  <si>
    <t>Aroma:</t>
  </si>
  <si>
    <t>Allerlei:</t>
  </si>
  <si>
    <t>TIP: Vergelijk uw finaal S.G. met labgisting &gt; restsuikercontrole.</t>
  </si>
  <si>
    <t>Alternatief boodschappenlijstje:</t>
  </si>
  <si>
    <t>Naam van het bier &gt;</t>
  </si>
  <si>
    <t>Materiaallijst / recept voor brouwsel van &gt;</t>
  </si>
  <si>
    <t>spoelwater:</t>
  </si>
  <si>
    <t>(U kan dit uitprinten indien nodig)</t>
  </si>
  <si>
    <t>Maischwater:</t>
  </si>
  <si>
    <t>Mouten, granen, suikers…</t>
  </si>
  <si>
    <t>Hop en extract…</t>
  </si>
  <si>
    <t>Ras</t>
  </si>
  <si>
    <t>alfa%</t>
  </si>
  <si>
    <t>kooktijd</t>
  </si>
  <si>
    <t>gew.</t>
  </si>
  <si>
    <t>Kruiden / zouten</t>
  </si>
  <si>
    <t>hoev.</t>
  </si>
  <si>
    <t>pitten</t>
  </si>
  <si>
    <t>(*)</t>
  </si>
  <si>
    <t>(*) Tijdstip: moment van toevoegen in minuten na start koken.</t>
  </si>
  <si>
    <t>Te verwachten SG uit granen:</t>
  </si>
  <si>
    <t>Te verwachten SG uit suikers:</t>
  </si>
  <si>
    <t>Te verwachten Totaal SG:</t>
  </si>
  <si>
    <t>Iers Mos</t>
  </si>
  <si>
    <t>unit</t>
  </si>
  <si>
    <t>Te verwachten Kleur:</t>
  </si>
  <si>
    <t>IBU</t>
  </si>
  <si>
    <t>Totaal IBU:</t>
  </si>
  <si>
    <t>IBU's met NIET-afgegoten giststarter:</t>
  </si>
  <si>
    <t>Te verwachten Eind SG:</t>
  </si>
  <si>
    <t>Te verwachten alcohol na hoofdgisting:</t>
  </si>
  <si>
    <t xml:space="preserve"> Gistsoort hoofdgisting &gt;</t>
  </si>
  <si>
    <t>Bottelgist &gt;</t>
  </si>
  <si>
    <t>Totale Kooktijd:</t>
  </si>
  <si>
    <t>Maischprofiel:</t>
  </si>
  <si>
    <t>Eiwitrust bij 53°C:</t>
  </si>
  <si>
    <t>Adviestemperatuur vergisting:</t>
  </si>
  <si>
    <r>
      <t>â</t>
    </r>
    <r>
      <rPr>
        <sz val="9"/>
        <rFont val="Arial Narrow"/>
        <family val="2"/>
      </rPr>
      <t>giststarter (11°Pt/SG 1044)</t>
    </r>
  </si>
  <si>
    <t xml:space="preserve">  Voorspelling schijnb.vergistingsgraad</t>
  </si>
  <si>
    <r>
      <t xml:space="preserve"> op het bier</t>
    </r>
    <r>
      <rPr>
        <sz val="6"/>
        <rFont val="Wingdings"/>
        <family val="0"/>
      </rPr>
      <t>â</t>
    </r>
  </si>
  <si>
    <t>Wyeast.SVG65-71</t>
  </si>
  <si>
    <t>Wyeast.SVG72-77</t>
  </si>
  <si>
    <t>Wyeast.SVG76-83</t>
  </si>
  <si>
    <t>Wil je de kooktijd zelf bepalen?</t>
  </si>
  <si>
    <t>Starter afgieten? &gt;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</si>
  <si>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</si>
  <si>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Proeven: omstandigheden, datum..</t>
  </si>
  <si>
    <t>&lt;Notities verloop</t>
  </si>
  <si>
    <t xml:space="preserve"> Werk vooraf:</t>
  </si>
  <si>
    <t>Starter aanmaak:</t>
  </si>
  <si>
    <t>extract in</t>
  </si>
  <si>
    <t>water</t>
  </si>
  <si>
    <t>gistvoeding</t>
  </si>
  <si>
    <t>Starter maken:</t>
  </si>
  <si>
    <t>moutextract 5' koken</t>
  </si>
  <si>
    <t xml:space="preserve">  in</t>
  </si>
  <si>
    <t xml:space="preserve"> Of ingeval van puur korrelgist, nodig &gt;&gt;</t>
  </si>
  <si>
    <t>biergistvoeding toevoegen, pH aanpassen en gist toevoegen.</t>
  </si>
  <si>
    <t>SG &gt;&gt;</t>
  </si>
  <si>
    <t>KorrelBrewfermBlanche</t>
  </si>
  <si>
    <t>Geïsomeriseerd Extract  &gt;</t>
  </si>
  <si>
    <r>
      <t xml:space="preserve">Maischen </t>
    </r>
    <r>
      <rPr>
        <sz val="11"/>
        <color indexed="10"/>
        <rFont val="Wingdings"/>
        <family val="0"/>
      </rPr>
      <t></t>
    </r>
  </si>
  <si>
    <t>Eigenschappen van gekende bieren.</t>
  </si>
  <si>
    <t>  </t>
  </si>
  <si>
    <t>Alc. Vol%</t>
  </si>
  <si>
    <t>Abdij bieren</t>
  </si>
  <si>
    <t>Affligem blond</t>
  </si>
  <si>
    <t>Affligem Tripel</t>
  </si>
  <si>
    <t>Grimbergen dubbel</t>
  </si>
  <si>
    <t>Leffe Blond</t>
  </si>
  <si>
    <t>Maredsous 8</t>
  </si>
  <si>
    <t>Sint-Bernardus 12</t>
  </si>
  <si>
    <t>St-Feuillin Tripel</t>
  </si>
  <si>
    <t>Tripel Karmeliet</t>
  </si>
  <si>
    <t>Andere</t>
  </si>
  <si>
    <t>IBU (EBU)</t>
  </si>
  <si>
    <t>Mouten, suikers en granen.</t>
  </si>
  <si>
    <t>EBC kleur</t>
  </si>
  <si>
    <t>Dingemans (Stabroek, BE)</t>
  </si>
  <si>
    <t>Pilsmout 3</t>
  </si>
  <si>
    <t>Palemout 7</t>
  </si>
  <si>
    <t>Tarwemout</t>
  </si>
  <si>
    <t>Tarwemout donker</t>
  </si>
  <si>
    <t>Munich mout 15</t>
  </si>
  <si>
    <t>Aromamout (Amber 50)</t>
  </si>
  <si>
    <t>Aromamout (Amber 150)</t>
  </si>
  <si>
    <t>Biscuit mout 50</t>
  </si>
  <si>
    <t>Trappist</t>
  </si>
  <si>
    <t>Chimay Rood</t>
  </si>
  <si>
    <t>Black De-bittered 1400</t>
  </si>
  <si>
    <t>Chimay Wit</t>
  </si>
  <si>
    <t>CaraPils (Cara 20)</t>
  </si>
  <si>
    <t>Chimay Blauw</t>
  </si>
  <si>
    <t>CaraVienne (Cara 50)</t>
  </si>
  <si>
    <t>Orval</t>
  </si>
  <si>
    <t>CaraMunich (Cara 120)</t>
  </si>
  <si>
    <t>Rochefort 6</t>
  </si>
  <si>
    <t>Rochefort 8</t>
  </si>
  <si>
    <t>Weyermann (Bamberg, DE)</t>
  </si>
  <si>
    <t>Rochefort 10</t>
  </si>
  <si>
    <t>Pilsmout</t>
  </si>
  <si>
    <t>Westmalle Dubbel</t>
  </si>
  <si>
    <t>Viennamout</t>
  </si>
  <si>
    <t>Westmalle Tripel</t>
  </si>
  <si>
    <t>Tarwemout licht</t>
  </si>
  <si>
    <t>Westvleteren Blond</t>
  </si>
  <si>
    <t>Westvleteren 8</t>
  </si>
  <si>
    <t>Munichmout I</t>
  </si>
  <si>
    <t>Westvleteren 12</t>
  </si>
  <si>
    <t>Munichmout II</t>
  </si>
  <si>
    <t>CaraPils</t>
  </si>
  <si>
    <t>Achouffe</t>
  </si>
  <si>
    <t>CaraHell</t>
  </si>
  <si>
    <t>Adelscott au Whisky malt</t>
  </si>
  <si>
    <t>CaraRed</t>
  </si>
  <si>
    <t>CaraAmber</t>
  </si>
  <si>
    <t>Bass Pale-Ale</t>
  </si>
  <si>
    <t>CaraAroma</t>
  </si>
  <si>
    <t>Bitburger pils</t>
  </si>
  <si>
    <t>CaraMunich I</t>
  </si>
  <si>
    <t>Cantillon Geueze</t>
  </si>
  <si>
    <t>CaraMunich II</t>
  </si>
  <si>
    <t>Courage BulldogStrongAle</t>
  </si>
  <si>
    <t>CaraMunich III</t>
  </si>
  <si>
    <t>De Koninck Ale</t>
  </si>
  <si>
    <t>Carafa I</t>
  </si>
  <si>
    <t>De Koninck Blond</t>
  </si>
  <si>
    <t>Carafa II</t>
  </si>
  <si>
    <t>Caledonian Edingburgh strong ale</t>
  </si>
  <si>
    <t>Carafa III</t>
  </si>
  <si>
    <t>Duvel</t>
  </si>
  <si>
    <t>Carafa Special onttkaft I</t>
  </si>
  <si>
    <t>Einbecker Hell</t>
  </si>
  <si>
    <t>Carafa special ontkaft II</t>
  </si>
  <si>
    <t>Erdinger Hefe Weissbier</t>
  </si>
  <si>
    <t>Carafa special ontkaft III</t>
  </si>
  <si>
    <t>Grölsch Lager</t>
  </si>
  <si>
    <t>CaraTarwe</t>
  </si>
  <si>
    <t>Guinnes draft (vat)</t>
  </si>
  <si>
    <t>Melanoidin mout</t>
  </si>
  <si>
    <t>Guinnes extra stout</t>
  </si>
  <si>
    <t>Rauchmalz</t>
  </si>
  <si>
    <t>Heller Kölsch</t>
  </si>
  <si>
    <t>Sauermalz pH 3,5</t>
  </si>
  <si>
    <t>Hoegaarden Wit</t>
  </si>
  <si>
    <t>Roggemout</t>
  </si>
  <si>
    <t>Jupiler</t>
  </si>
  <si>
    <t>Caramelroggemout</t>
  </si>
  <si>
    <t>Liefmans Goudenband</t>
  </si>
  <si>
    <t>Chocolade roggemout</t>
  </si>
  <si>
    <t>Liefmans Kriek</t>
  </si>
  <si>
    <t>Chocolade speltmout</t>
  </si>
  <si>
    <t>Löwenbräu special export</t>
  </si>
  <si>
    <t>Chocolade tarwemout</t>
  </si>
  <si>
    <t>Lutèce - Bière de Paris</t>
  </si>
  <si>
    <t>Suiker, stroop en honing</t>
  </si>
  <si>
    <t>Malheur 10</t>
  </si>
  <si>
    <t>Donkerbruine basterdsuiker</t>
  </si>
  <si>
    <t>Mousel premium pils</t>
  </si>
  <si>
    <t>Bruine kandijsuiker</t>
  </si>
  <si>
    <t>Newcastle Brown Ale</t>
  </si>
  <si>
    <t>Witte basterdsuiker</t>
  </si>
  <si>
    <t>Oerbier</t>
  </si>
  <si>
    <t>Witte kandijsuiker</t>
  </si>
  <si>
    <t>Oktoberfest Märzen (Spat)</t>
  </si>
  <si>
    <t>Rietsuiker</t>
  </si>
  <si>
    <t>Appelstroop</t>
  </si>
  <si>
    <t>Pilsner Urquell</t>
  </si>
  <si>
    <t>Luikse perenstroop</t>
  </si>
  <si>
    <t>Pinkus Hefe Weizen</t>
  </si>
  <si>
    <t>Dextrose / Glucose</t>
  </si>
  <si>
    <t>Rodenbach</t>
  </si>
  <si>
    <t>Honing</t>
  </si>
  <si>
    <t>Rodenbach Grand Cru</t>
  </si>
  <si>
    <t>Saint-Arnould réserve</t>
  </si>
  <si>
    <t>Ongemoute granen</t>
  </si>
  <si>
    <t>Saint-Silvestre 3m</t>
  </si>
  <si>
    <t>Rijstvlokken</t>
  </si>
  <si>
    <t>Tarwevlokken</t>
  </si>
  <si>
    <t>Gerstvlokken</t>
  </si>
  <si>
    <t>Geroosterde gerst</t>
  </si>
  <si>
    <t>Boekweitvlokken</t>
  </si>
  <si>
    <t>Maisvlokken</t>
  </si>
  <si>
    <t>Roggevlokken</t>
  </si>
  <si>
    <t>1007 German Ale</t>
  </si>
  <si>
    <t>1028 London Ale</t>
  </si>
  <si>
    <t>Eigenschappen</t>
  </si>
  <si>
    <t xml:space="preserve">1214 Belgian Ale           </t>
  </si>
  <si>
    <t xml:space="preserve">1388 Belgian Strong Ale    </t>
  </si>
  <si>
    <t>2007 Pilsen Lager</t>
  </si>
  <si>
    <t>1762 Belgian Abbey II</t>
  </si>
  <si>
    <t>1728 Scottish Ale</t>
  </si>
  <si>
    <t>Rijk dortmundstijl verfrissend droge afdronk. Door het zachte profiel worden de hopeigenschappen geaccentueerd.</t>
  </si>
  <si>
    <t>2124 Bohemian Lager</t>
  </si>
  <si>
    <t>2206 Bavarian Lager</t>
  </si>
  <si>
    <t xml:space="preserve">2247 European Lager II     </t>
  </si>
  <si>
    <t xml:space="preserve">2278 Czech Pils            </t>
  </si>
  <si>
    <t xml:space="preserve">2308 Munich Lager          </t>
  </si>
  <si>
    <t xml:space="preserve">2565 Kölsch                </t>
  </si>
  <si>
    <t xml:space="preserve">3056 Bavarian Wheat        </t>
  </si>
  <si>
    <t>3068 Weihenstephan Weizen</t>
  </si>
  <si>
    <t>Stam-wort (°Pt)</t>
  </si>
  <si>
    <t>Stam-wort (SG)</t>
  </si>
  <si>
    <t>Paulaner Salvator Dobbelbock</t>
  </si>
  <si>
    <t>% Op-brengst</t>
  </si>
  <si>
    <t xml:space="preserve">3333 German Wheat          </t>
  </si>
  <si>
    <t>Subtiel smaakprofiel voor een tarwebiergist met scherpzurige frisheid fruitig kersachtig palet.</t>
  </si>
  <si>
    <t xml:space="preserve">1099 Whitbread Ale         </t>
  </si>
  <si>
    <t>1084 Irish Ale Guinness</t>
  </si>
  <si>
    <t xml:space="preserve">1098 British Ale   </t>
  </si>
  <si>
    <t>Chocolademout (roost 900)</t>
  </si>
  <si>
    <t>3463 Forbidden Fruit Yeast</t>
  </si>
  <si>
    <t>3522 Belgian Ardennes</t>
  </si>
  <si>
    <t>Fenolen zorgen voor een zachtfruitigheid en een complexe kruidigheid bij een hogere vergistingsSVG / Achouffe</t>
  </si>
  <si>
    <t>3538 Leuven Pale Ale</t>
  </si>
  <si>
    <t>3638 Bavarian Wheat</t>
  </si>
  <si>
    <t>3655 Schelde Ale</t>
  </si>
  <si>
    <t>3724 Belgian Saison</t>
  </si>
  <si>
    <t xml:space="preserve">3725 Biere de Garde        </t>
  </si>
  <si>
    <t xml:space="preserve">3787 Trappist High Gravity </t>
  </si>
  <si>
    <t>Droog met een rijk esterig en fenolig profiel en een moutig palet. /  Westmalle</t>
  </si>
  <si>
    <t>Laag tot gemiddelde esterproductie met lichte kruidigheid. / Soy Erèze Wallonië</t>
  </si>
  <si>
    <t>Zeer droog kruidig en licht zurig profiel met esterig aroma. / Saison Dupont</t>
  </si>
  <si>
    <t>Een fruitig aroma. / Bolleke De Koninck.</t>
  </si>
  <si>
    <t xml:space="preserve">Droog en verfrissend met een complexe maar toch zachte smaak. / Dusseldorf </t>
  </si>
  <si>
    <t>Rijk met een droge afdronk. Een stevig karaktervol bier dorstlessend met iets fruitigheid. / Worthington White Shield</t>
  </si>
  <si>
    <t xml:space="preserve">Licht moutig en fruitig met een beetje diacetyl. / </t>
  </si>
  <si>
    <t>Een zachtmoutig en lichtfruitig vergistingprofiel. Minder zurig en droog dan de 1098. / Whitbread</t>
  </si>
  <si>
    <t>Voor een droog en verfrissend bier. Lichtzurig fruitig en zeer evenwichtig. / Whitbread Droger</t>
  </si>
  <si>
    <t>Esterig / Chimay</t>
  </si>
  <si>
    <t>Fruitig aroma en palet droog zurige afdronk. / Duvel</t>
  </si>
  <si>
    <t>Mc Ewans</t>
  </si>
  <si>
    <t>Gist voor hoge densiteit, verwarmend effect door productie van ethanol. Lichtfruitig met droge afdronk / Rochefort</t>
  </si>
  <si>
    <t>Zacht moutig palet. Droog en verfrissend. / Budweiser</t>
  </si>
  <si>
    <t>2001 Pilsner Urquell Lager</t>
  </si>
  <si>
    <t>Mild fruit  -  en bloemenaroma. Zeer droog en zuiver palet met vol mondgevoel en een aangenaam subtiel moutig karakter. Zeer zuiver en neutrale afdronk. DE PILS</t>
  </si>
  <si>
    <t>2042 DanishLager Carlsberg</t>
  </si>
  <si>
    <t>Clean en moutig. / Weihenstephan 34/70 (bestaat ook in korrel)</t>
  </si>
  <si>
    <t>Droog en moutige afdronk / Pilsner Urquel-D</t>
  </si>
  <si>
    <t>Gebruikt door vele Duitse brouwerijen, rijke stevige  volle en moutige bieren / Weihenstephan 206.</t>
  </si>
  <si>
    <t xml:space="preserve">Clean met mild aroma. Geeft een lichte zwavelproductie. / </t>
  </si>
  <si>
    <t>Zeer aangenaam zacht goede stevigheid en vol van smaak. / Wishenshaftlige Station</t>
  </si>
  <si>
    <t>Ontwikkelt een uitstekende moutigheid met matige fruitigheid en verfrissende afdronk / Weihenstephan 167 Köln</t>
  </si>
  <si>
    <t>Een sterk mout -  karakter en mondgevoel. Laag in zwavel. / Bier van de bierfeesten in Munchen.</t>
  </si>
  <si>
    <t>Geeft een zacht esterig en fenolisch profiel. / Paddock Wood</t>
  </si>
  <si>
    <t>2633 OctoberfestLagerBlend</t>
  </si>
  <si>
    <t>Unieke bovengist: unieke, kruidige WEIZEN, karakter maakt rijk met kruidnagel vanille en banaan. / Weizenstephan 68</t>
  </si>
  <si>
    <t>Fenolisch profiel met een achtergrond van fruitigheid. / Verboden Vrucht</t>
  </si>
  <si>
    <t>Licht fenolig en kruidig aromatisch karakter. / Corsendonck Bock</t>
  </si>
  <si>
    <t>Evenwicht tussen banaan en kauwgom - esters o.a. van litchee appel, pruim. Kruidnagel. / Weihenstephan 175</t>
  </si>
  <si>
    <t xml:space="preserve">3944 Belgian Witbier  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</si>
  <si>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</si>
  <si>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</si>
  <si>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 zie ook 5278, 5335, 5526, 5733.</t>
  </si>
  <si>
    <t>Wyeast Vloeibare Gisten</t>
  </si>
  <si>
    <t>Korrelgisten</t>
  </si>
  <si>
    <t>Fermentis Safale S-04</t>
  </si>
  <si>
    <t>Danstar Windsor</t>
  </si>
  <si>
    <t>Danstar Nottingham</t>
  </si>
  <si>
    <t>Brewferm Lager</t>
  </si>
  <si>
    <t>Brewferm Bovengist</t>
  </si>
  <si>
    <t xml:space="preserve">Brewferm Blanche </t>
  </si>
  <si>
    <t xml:space="preserve">Fermentis Safbrew S-33     </t>
  </si>
  <si>
    <t xml:space="preserve">Fermentis Safbrew T-58     </t>
  </si>
  <si>
    <t xml:space="preserve">Fermentis Saflager S-189   </t>
  </si>
  <si>
    <t>Vrij neutrale smaak -  en geurontwikkeling. Wordt gebruikt bij talrijke lagers en pilsbieren. / Hurliman Zwitserland</t>
  </si>
  <si>
    <t>Cleane smaak, niet zwavelig medium einddensiteit</t>
  </si>
  <si>
    <t>Aromas zoals banaan en kruidnagel. Hogere einddensiteit (Restzoet).</t>
  </si>
  <si>
    <t>Produceert fruitige esters. Hogere einddensiteit (Restzoet).</t>
  </si>
  <si>
    <t>Hogere einddensiteit (Restzoet).</t>
  </si>
  <si>
    <t>Cleane smaak, Lagere einddensiteit.</t>
  </si>
  <si>
    <t>Trappist achtig ook voor Belgisch witbier, Hogere einddensiteit (Restzoet).</t>
  </si>
  <si>
    <t>Kruidig en fruitig, Belgisch, Hogere einddensiteit (Restzoet).</t>
  </si>
  <si>
    <t xml:space="preserve">Fermentis Saflager S-23    </t>
  </si>
  <si>
    <t xml:space="preserve">Fermentis Safbrew WB-06    </t>
  </si>
  <si>
    <t xml:space="preserve">Fermentis Safale K-97     </t>
  </si>
  <si>
    <t>Fermentis Saflager W-34/70</t>
  </si>
  <si>
    <t>Bruggeman Bakkersgist</t>
  </si>
  <si>
    <t>Voor evenwichtige bieren met weinig diacetyl en een zuivere, frisse afdronk.</t>
  </si>
  <si>
    <t>Fermentis Safale US-05</t>
  </si>
  <si>
    <t>± Kleur EBC</t>
  </si>
  <si>
    <t>V1a: correctie op Totaal EBC kleur in fie van koken en gisttabel aangepast.  Week 1 2009</t>
  </si>
  <si>
    <t>V1b: Nogmaals correctie op Kleur, Infotabellen bijgevoegd. Water (maisch) berekeningen aangepast. Wk 2 2009</t>
  </si>
  <si>
    <t>V1c: Starter (gist) berekeningen in detail + ook aantal g korrelgist indien puur. Wk 2 2009.</t>
  </si>
  <si>
    <t>V1_1: Nieuwe Excel sheet gecreëerd uit "Brouwfiche" aan de hand van de (zeldzaam) positieve suggesties.</t>
  </si>
  <si>
    <t>V1d: mouttabel aangepast vlgs stockitems gilde Wk 3 2009. Berekening totaal watervolume de factor 1,57 wordt 1,7.</t>
  </si>
  <si>
    <t>ketelinvloed &gt;</t>
  </si>
  <si>
    <t>percent verkoken /uur&gt;</t>
  </si>
  <si>
    <t>Ketelinvloed tussen 95 (dubbelwandig, veel massa) en 102 (dun, weinig warmteopname)</t>
  </si>
  <si>
    <t>&lt; te verdampen liters tijdens koken</t>
  </si>
  <si>
    <t>Te verdampen liters bij 70' koken &gt;</t>
  </si>
  <si>
    <t>V1e: Dextrose opbrengst 93% i.p.v. 91.   Advieskooktijd licht verhoogd.</t>
  </si>
  <si>
    <t>&lt; extra water bij te rekenen bij totaalvolume</t>
  </si>
  <si>
    <t>= van 15 tot 25</t>
  </si>
  <si>
    <t>Overzicht Wijzigingen</t>
  </si>
  <si>
    <t>Hop</t>
  </si>
  <si>
    <t>Benaming</t>
  </si>
  <si>
    <t>Gem. Alfa zuur %</t>
  </si>
  <si>
    <r>
      <t xml:space="preserve">type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rom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itter </t>
    </r>
    <r>
      <rPr>
        <b/>
        <sz val="8"/>
        <rFont val="Arial"/>
        <family val="2"/>
      </rPr>
      <t>U</t>
    </r>
    <r>
      <rPr>
        <sz val="8"/>
        <rFont val="Arial"/>
        <family val="2"/>
      </rPr>
      <t>niv</t>
    </r>
    <r>
      <rPr>
        <sz val="9"/>
        <rFont val="Arial"/>
        <family val="2"/>
      </rPr>
      <t>.</t>
    </r>
  </si>
  <si>
    <t>Admiral</t>
  </si>
  <si>
    <t>Typisch Engels aroma, universele hop. Goede vervanger voor zowel hoge alpha hop als universele hop bij het koken.</t>
  </si>
  <si>
    <t>Vervangers</t>
  </si>
  <si>
    <t>Target, Northdown, Challenger</t>
  </si>
  <si>
    <t>Biertype</t>
  </si>
  <si>
    <t>Engelse Ale</t>
  </si>
  <si>
    <t>Amarillo</t>
  </si>
  <si>
    <t>Citrus, bloemig.</t>
  </si>
  <si>
    <t>Cascade, Centennial</t>
  </si>
  <si>
    <t>American ale, IPA.</t>
  </si>
  <si>
    <t>Bramling Cross</t>
  </si>
  <si>
    <t>Mild, fruitig aroma met iets van citrus/limoen. Heel licht zurig.</t>
  </si>
  <si>
    <t>(East) Kent Golding, WGV, evt Fuggles</t>
  </si>
  <si>
    <t>Engelse Ale, Scotch</t>
  </si>
  <si>
    <t>Fruitig, zwarte bes, pittig. Universele bitterhop. Heeft een wat hardere bitterheid.</t>
  </si>
  <si>
    <t>Brewers Gold</t>
  </si>
  <si>
    <t>Northdown, Northern brewer</t>
  </si>
  <si>
    <t>Lambiek, Duitse pils</t>
  </si>
  <si>
    <t>Cascade</t>
  </si>
  <si>
    <t>Medium sterk aroma. Amerika´s meest populaire aromahop. Heeft een kenmerkend citrus- tot grapefruitkarakter.</t>
  </si>
  <si>
    <t>Centennial, Amarillo</t>
  </si>
  <si>
    <t>IPA, Am.Ale, witbier</t>
  </si>
  <si>
    <t>Medium intens met bloemige en citrusachtige trekjes</t>
  </si>
  <si>
    <t>Centennial</t>
  </si>
  <si>
    <t>Am. Ale, Am. Witbier</t>
  </si>
  <si>
    <t>Challenger</t>
  </si>
  <si>
    <t>Mild tot matig intens, behoorlijk pittig. Een alternatief voor East Kent Golding, maar iets bitterder.</t>
  </si>
  <si>
    <t>(Hallertauer) Perle, Northern Brewer</t>
  </si>
  <si>
    <t>Eng.ale, stout, bitters.</t>
  </si>
  <si>
    <t>EastKent Golding</t>
  </si>
  <si>
    <t>Fuggles</t>
  </si>
  <si>
    <t>Eng. En Belg. Ale</t>
  </si>
  <si>
    <t>De fijnste aromahop met engels karakter</t>
  </si>
  <si>
    <t>First Gold</t>
  </si>
  <si>
    <t>Uitgebalanceerde bitterheid, fruitig, iets pikant. Een beetje als Kent Golding (zacht, aangenaam, geurig) maar wat pittiger.</t>
  </si>
  <si>
    <t>Mild en aangenaam, gronderig, fruitig. Typisch Engelse hopsmaak. Geeft bier een rond en vol karakter.</t>
  </si>
  <si>
    <t>Styrian Golding, Tettnanger, Willamette</t>
  </si>
  <si>
    <t>First Gold, ev. Fuggles.</t>
  </si>
  <si>
    <t>(East) Kent Gold, ev Fuggles.</t>
  </si>
  <si>
    <t>Engelse ales, ESB, bitter, lambiek, lagerbieren.</t>
  </si>
  <si>
    <t>Hallertau Hersbrücker</t>
  </si>
  <si>
    <t>Duitslands meest gebruikte aromahop met een fantastisch en kruidig aroma.</t>
  </si>
  <si>
    <t>Hallertau Mittelfrüh, Strisselspalt</t>
  </si>
  <si>
    <t>Hallertau Spalt Select</t>
  </si>
  <si>
    <t>Duitse aromahop met licht kruidig karakter. Goed alternatief voor de Franse Spalt</t>
  </si>
  <si>
    <t>Saaz, Tettnanger, Spalt, Hersbrücker</t>
  </si>
  <si>
    <t>Bock, Lager, Ale,  Lambiek</t>
  </si>
  <si>
    <t>Duitse lagers, Pils</t>
  </si>
  <si>
    <t>Hallertauer Mittelfrüh</t>
  </si>
  <si>
    <t>Mild en aangenaam. Zacht aroma, gemiddelde bitterheid.</t>
  </si>
  <si>
    <t>Hallertauer Tradition</t>
  </si>
  <si>
    <t>Hallertauer Perle</t>
  </si>
  <si>
    <t>Matig intens goed en hoppig aroma, fruitig, beetje pittig. Goede combinatie van uitgebalanceerde bitterheid en goede aroma eigenschappen.</t>
  </si>
  <si>
    <t xml:space="preserve">Northern Brewer, Perle </t>
  </si>
  <si>
    <t>Weizen, Munchener, Kölsh,  Pale Ale, stout, pils</t>
  </si>
  <si>
    <t>Zacht aroma, gemiddelde bitterheid. Bekend om zijn aromatische eigenschappen. Lijkt veel op Hallertauer Mittelfrüh.</t>
  </si>
  <si>
    <t>Hallertauer Mittelfrüh, Hersbrücker</t>
  </si>
  <si>
    <t>Pils, Lager, Witbier, Trappist.</t>
  </si>
  <si>
    <t>Lager, weizen, trappist, wit.</t>
  </si>
  <si>
    <t>Hersbrücker</t>
  </si>
  <si>
    <t>Mild tot redelijk sterk aroma, aangenaam hoppig en kruidig.</t>
  </si>
  <si>
    <t>Halllertau Mittelfrüh, Strissenspalt</t>
  </si>
  <si>
    <t>Zie Hallertau mittelfrüh</t>
  </si>
  <si>
    <t>Lublin (Polen)</t>
  </si>
  <si>
    <t>Mild intens aroma, pikant, kruidig.Typische "edele" aromahop</t>
  </si>
  <si>
    <t>Saaz, Tettnanger ev Fuggles</t>
  </si>
  <si>
    <t>Belgische ales, bitter</t>
  </si>
  <si>
    <t>Magnum (Hallertau M.)</t>
  </si>
  <si>
    <t>Aangenaam maar niet uitgesproken aroma voor bieren met een "clean" karakter</t>
  </si>
  <si>
    <t>Columbus, Nugget</t>
  </si>
  <si>
    <t>Lagerbieren, stout, ales</t>
  </si>
  <si>
    <t>Millennium</t>
  </si>
  <si>
    <t>Pikant en kruidig</t>
  </si>
  <si>
    <t>Nugget, Columbus</t>
  </si>
  <si>
    <t>ales, stout, barley wine</t>
  </si>
  <si>
    <t>Ales, stout, barley wine</t>
  </si>
  <si>
    <t>Northern Brewer</t>
  </si>
  <si>
    <t>Universele hop, gebruikt als bitterhop. Wordt in donkere bieren gebruikt, De hopbellen zijn van nature wat bruiner.</t>
  </si>
  <si>
    <t>Brewer's Gold.</t>
  </si>
  <si>
    <t>ESB, bitter, Engelse pale ale..</t>
  </si>
  <si>
    <t>Matig sterk, kruidig aroma Als Nugget (USA), maar met iets lagere alpha waarden</t>
  </si>
  <si>
    <t>Nugget (Duitsland)</t>
  </si>
  <si>
    <t>Nugget USA, ev. Magnum</t>
  </si>
  <si>
    <t>Perle (Duitsland)</t>
  </si>
  <si>
    <t>Matig intens, hoppig aroma, fruitig, pittig. Goede combinatie v. uitgebalanceerde bitterheid &amp; aroma eigenschappen.</t>
  </si>
  <si>
    <t>pale ale, porter, stout, wit</t>
  </si>
  <si>
    <t>Hall. Perle</t>
  </si>
  <si>
    <t>Phoenix</t>
  </si>
  <si>
    <t>Mild tot matig intens, pikant aroma.</t>
  </si>
  <si>
    <t>(East) Kent Golding, Challenger</t>
  </si>
  <si>
    <t>ales, stout, porter, ESB, bitter</t>
  </si>
  <si>
    <t>Pioneer</t>
  </si>
  <si>
    <t>Zacht, typisch Engels aroma.</t>
  </si>
  <si>
    <t>(East) Kent Golding</t>
  </si>
  <si>
    <t>Engelse ales, ESB, bitter.</t>
  </si>
  <si>
    <t>Saaz</t>
  </si>
  <si>
    <t xml:space="preserve">Koning van de pilshop. De enige hop die gebruikt wordt in het oorspronkelijke pils ter wereld: Pilsner Urquell. </t>
  </si>
  <si>
    <t>Pils, Belgische ales,  Lambiek</t>
  </si>
  <si>
    <t>Strisselspalt</t>
  </si>
  <si>
    <t>Medium intens, zeer aangenaam, fijn en hoppig. Frankrijk.</t>
  </si>
  <si>
    <t>Hersbrücker, ev. Hallertau Mittelfrûh</t>
  </si>
  <si>
    <t>Pils, Lager, Witbier.</t>
  </si>
  <si>
    <t>Styrian Golding</t>
  </si>
  <si>
    <t>Delicaat, iets pikant en grasachtig/bloemig. Zeer populair vanwege karakteristieke aroma en gemiddelde alpha waarden</t>
  </si>
  <si>
    <t>Ales, Pils, lager.</t>
  </si>
  <si>
    <t>Target</t>
  </si>
  <si>
    <t>Zeer goede Engelse bitterhop met aangenaam aroma. Redelijk intens aroma, zeer hoge bitterwaarden.</t>
  </si>
  <si>
    <t>Fuggle met Northern Brewer</t>
  </si>
  <si>
    <t>Alle bieren.</t>
  </si>
  <si>
    <t xml:space="preserve">Tettenhanger </t>
  </si>
  <si>
    <t>Zeer nobele Duitse aromahop, veel gebruikt bij lagerbieren. Heeft een mild, kruidig aroma en een fijne, delicate smaak.</t>
  </si>
  <si>
    <t>Spalt, Spalt Select, Hersbrücker</t>
  </si>
  <si>
    <t>Spalt</t>
  </si>
  <si>
    <t>Lublin, ev. Spalt</t>
  </si>
  <si>
    <t>Saaz, Tettnanger, Strisselspalt.</t>
  </si>
  <si>
    <t>Mild en aangenaam, ietsje pittig. Vergelijkbaar met Tettnanger, "edele" aromahop</t>
  </si>
  <si>
    <t>Lagerbieren.</t>
  </si>
  <si>
    <t>Zacht aroma, gemiddelde bitterheid. Zeer subtiel, lijkt veel op Mittelfrüh.</t>
  </si>
  <si>
    <t>Hersbrücker, Hallertauer Mittelfrüh</t>
  </si>
  <si>
    <t>Pils, weizen, wit.</t>
  </si>
  <si>
    <t>Tradition (Duits)</t>
  </si>
  <si>
    <t>Pils, Weizen, Wit, Trappist.</t>
  </si>
  <si>
    <t>WGV (Whitbread Golding Variety)</t>
  </si>
  <si>
    <t>Aangenaam en hoppig aroma met een gemiddelde intensiteit.</t>
  </si>
  <si>
    <t>Engelse ales.</t>
  </si>
  <si>
    <t>Willamette</t>
  </si>
  <si>
    <t>Mild en aangenaam, iets pikant, fruitig, bloemig, iets gronderig.</t>
  </si>
  <si>
    <t>Fuggle, Tettnanger, Styrian Golding.</t>
  </si>
  <si>
    <t>Engelse ales, APA, brown ale.</t>
  </si>
  <si>
    <t>Yeoman</t>
  </si>
  <si>
    <t>Target, Admiral, Phoenix</t>
  </si>
  <si>
    <t>Lagerbieren</t>
  </si>
  <si>
    <t>Bitterhop met aangenaam zacht aroma. Ook voor maken van bitterconcentraten/extracten.</t>
  </si>
  <si>
    <t>Zoja, hoelang koken? &gt;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</si>
  <si>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</si>
  <si>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Korrel S-33</t>
  </si>
  <si>
    <t>Korrel US-05</t>
  </si>
  <si>
    <t>Korrel T-58</t>
  </si>
  <si>
    <t>Korrel W34-70(lager)</t>
  </si>
  <si>
    <t>Korrel Nottingham</t>
  </si>
  <si>
    <t>Korrel SaflagerS-23</t>
  </si>
  <si>
    <t>SchBuisGevallenEngel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</si>
  <si>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</si>
  <si>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Eigenschappen: de hier vermelde vergistngspercentages zijn benaderingen en niet aan de praktijk getoetst.</t>
  </si>
  <si>
    <t>N</t>
  </si>
  <si>
    <t>Kies suikersoort &gt; &gt;</t>
  </si>
  <si>
    <t>Korrel WB-06/Munchen</t>
  </si>
  <si>
    <t>Advies °C vergisting</t>
  </si>
  <si>
    <t>Gem SVG  ±%</t>
  </si>
  <si>
    <t>Medium einddensiteit Enkel korrelgist is geschikt, dus geen "verse" gistpakjes, eventueel voor hergisting.</t>
  </si>
  <si>
    <t>Duitse bovengist, speciaal voor Belgische witbieren. Middenmaat einddensiteit, stoffige gist.</t>
  </si>
  <si>
    <t>Ietwat fruitig, Hogere einddensiteit (Restzoet). = idem EDME gist.</t>
  </si>
  <si>
    <t>Nodige liters kookwort &gt;</t>
  </si>
  <si>
    <t>V1h: Suikervr bottelen uitgebreid naar dextrose en rietsuiker. Vermogen brander voorkoken bijgevoegd.</t>
  </si>
  <si>
    <t>V1g: Nog gisten bijgevoegd en formules SVG berekening in fie van lagere SG's verfijnd.</t>
  </si>
  <si>
    <t>V1f: Ketelinvloed erbij. Verkookwater erbij. Nodige volume vóór koken erbij.</t>
  </si>
  <si>
    <t>Geef opslagtemperatuur mout  &gt;</t>
  </si>
  <si>
    <r>
      <t>Clarimalt</t>
    </r>
    <r>
      <rPr>
        <sz val="8"/>
        <color indexed="8"/>
        <rFont val="Arial Narrow"/>
        <family val="2"/>
      </rPr>
      <t xml:space="preserve"> Caramelkleur (gram)</t>
    </r>
  </si>
  <si>
    <t>V1_2: de V1h bevroren als V1_2: zo naar website Hobbybrouwen</t>
  </si>
  <si>
    <t>V1_2a: 22/2/2009: correctie op kleurberekeningsformule alsook Clarimalt in gram i.p.v. cl.</t>
  </si>
  <si>
    <t xml:space="preserve">&lt;  som kleuren </t>
  </si>
  <si>
    <t>Zelf bottelsuiker opgeven? &gt;</t>
  </si>
  <si>
    <t>zo ja, geef aantal g/liter&gt;</t>
  </si>
  <si>
    <t>finaal g suiker/L Bottelen &gt;</t>
  </si>
  <si>
    <t>Houdbaar tot ± &gt;</t>
  </si>
  <si>
    <t>Gisten gegevens dec 2008 niet updated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</si>
  <si>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</si>
  <si>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V1_3: Tijdelijke aangepaste kleurformules en gistprofielen</t>
  </si>
  <si>
    <t>V1_4: 07/03/2009: kleurberekening definitief, laatste correcties op suikerplatoberekening en laatste aanpassingen</t>
  </si>
  <si>
    <t xml:space="preserve">                               van de vergistingsgraad korrelgisten.</t>
  </si>
  <si>
    <t>Beslagdikte &gt;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</si>
  <si>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</si>
  <si>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KweekChimay (flesje)</t>
  </si>
  <si>
    <t>V2_0: 27/04/2009: Op aanvraag de beslagdikte en aard v/h bier apart instelfbaar, gistsoorten bijgevoegd.</t>
  </si>
  <si>
    <t>liter water, koelen tot max25°C,</t>
  </si>
  <si>
    <t>INFO: Gisten.  Let op, deze tabel dient ook de berekeningen,  NIET WEGGOOIEN!!  U hoeft deze kant NIET uit te printen.</t>
  </si>
  <si>
    <t>SchBuisKabouter</t>
  </si>
  <si>
    <t>V3_0: 11/11/2009: Zware fout in berekening op bekomen °Pt per grondstof verbeterd, gist Kabouter bijgevoegd.</t>
  </si>
  <si>
    <t>Amarillo (univ/citrusaroma)</t>
  </si>
  <si>
    <t>krachtig aroma, citrusachtig.</t>
  </si>
  <si>
    <t>Korrel S-04</t>
  </si>
  <si>
    <r>
      <t>Type</t>
    </r>
    <r>
      <rPr>
        <sz val="9"/>
        <rFont val="Wingdings"/>
        <family val="0"/>
      </rPr>
      <t>â</t>
    </r>
  </si>
  <si>
    <t>Cara 300 (Dingemans)  Special B (Castle Malting)</t>
  </si>
  <si>
    <t>300  350</t>
  </si>
  <si>
    <t>64,92  64,92</t>
  </si>
  <si>
    <t>V4_0: 11/08/2011: Kleurberekening verbeterd volgens Dingemans gegevens, Hopsoorten: Tettnanger weg, Amarillo erbij.</t>
  </si>
  <si>
    <t xml:space="preserve">          Schijnbare vergisting op suiker op 106 tot 107,5 gebracht, die is immers groter dan 100 aangezien het o schijnbare vergisting gaat!</t>
  </si>
  <si>
    <t xml:space="preserve">      Noteer dat de SVG (Schijnbare Vergisting %) op suiker &gt; dan 100% is!</t>
  </si>
  <si>
    <t>V4_1: 07/09/2011: Waterberekeningen opnieuw aangepast, reserve ingerekend ingeval veel suiker gebruikt wordt,</t>
  </si>
  <si>
    <t xml:space="preserve">          ook beslagdiktes gewijzigd.</t>
  </si>
  <si>
    <t>Neutraal, gemiddeld.</t>
  </si>
  <si>
    <t>z-reserve1</t>
  </si>
  <si>
    <t>z-reserve2</t>
  </si>
  <si>
    <t>z-reserve3</t>
  </si>
  <si>
    <t>noteer: SVG op suiker is &gt; 100</t>
  </si>
  <si>
    <t xml:space="preserve">         - Een "knop" toegevoegd via Macrofuncties, om een brouwrapport uit te printen als tekstfile om op het forum te plakken</t>
  </si>
  <si>
    <t xml:space="preserve">         - Gist "Brigand" vervangen door Hopus opkweek</t>
  </si>
  <si>
    <t xml:space="preserve">         - Onder de naam van het bier bovenaan links , vak voor "Biertype" bijgevoegd.</t>
  </si>
  <si>
    <t>Dit is voorlopig testversie V4.1.t.1</t>
  </si>
  <si>
    <t xml:space="preserve"> &lt; Type</t>
  </si>
  <si>
    <t>Palemout</t>
  </si>
  <si>
    <t>Tarwe Vlokken</t>
  </si>
  <si>
    <t>Munchener</t>
  </si>
  <si>
    <t>Amber (Aroma 50)</t>
  </si>
  <si>
    <t>Cara 120</t>
  </si>
  <si>
    <t>Special B</t>
  </si>
  <si>
    <t>Chocolade Mout</t>
  </si>
  <si>
    <t>MEDIUM</t>
  </si>
  <si>
    <t>vol.</t>
  </si>
  <si>
    <t>Gebotteld Vol.% &gt;&gt;</t>
  </si>
  <si>
    <t>Hard, droog</t>
  </si>
  <si>
    <t>Zeer esterig, Zoet.</t>
  </si>
  <si>
    <t>Lagerbier, tamelijk fruitig.</t>
  </si>
  <si>
    <t>Fruitig, kruidig, goede hergister</t>
  </si>
  <si>
    <t>Universeel, krachtig, bier verbleekt.</t>
  </si>
  <si>
    <t>Lagerbier, zuvere cultuur</t>
  </si>
  <si>
    <t>Voor Weizen &amp; Chimay</t>
  </si>
  <si>
    <t>Witbier gist</t>
  </si>
  <si>
    <t>Weizenachtig, zwavelig</t>
  </si>
  <si>
    <t>Zacht en aangenaam</t>
  </si>
  <si>
    <t>Gekend, krachtig, gisting kan fruitig ruiken.</t>
  </si>
  <si>
    <t>Zeer geschikt vr hergisting (plakt)</t>
  </si>
  <si>
    <t>Fruitige gist</t>
  </si>
  <si>
    <t>Ver doorgistend (bevat Brettanomyces!)</t>
  </si>
  <si>
    <t>Voor Duvel hoofdgist</t>
  </si>
  <si>
    <t>Voor Achouffe-like, kruidig</t>
  </si>
  <si>
    <t>bijv. 1968, 1338…</t>
  </si>
  <si>
    <t>bijv. 3942, 3068, 1388…</t>
  </si>
  <si>
    <t>bijv. 3787, Trappist HG…</t>
  </si>
  <si>
    <t xml:space="preserve">   - - -</t>
  </si>
  <si>
    <t>KweekWestmalle(Fl)</t>
  </si>
  <si>
    <t>Opkweek Duvel(FL.)</t>
  </si>
  <si>
    <t>Opkweek Brigand (FL)</t>
  </si>
  <si>
    <t>KweekRochefort10(FL)</t>
  </si>
  <si>
    <t>Opkweek Hopus (FL)</t>
  </si>
  <si>
    <t>Opkweek Orval(FL)</t>
  </si>
  <si>
    <t>Brouwplanner V4.2</t>
  </si>
  <si>
    <t>Opm. Bottelen:</t>
  </si>
  <si>
    <r>
      <t xml:space="preserve"> Brouwplanner.</t>
    </r>
    <r>
      <rPr>
        <sz val="9"/>
        <color indexed="8"/>
        <rFont val="Arial Narrow"/>
        <family val="2"/>
      </rPr>
      <t xml:space="preserve"> R. Baert, Reynaert Wijn &amp; Biergilde, Lokeren m.m.v. Walter C., Vlaams Hobbybrouw Forum</t>
    </r>
  </si>
  <si>
    <t>Maisch Profiel &gt;&gt;</t>
  </si>
  <si>
    <t>75..78°</t>
  </si>
  <si>
    <t>V4_2: 19/10/2011: Dankzij medewerking van Walter, forumleider "Vlaams hobbybrouwen Forum:</t>
  </si>
  <si>
    <t>Filterspoelen:  ga naar</t>
  </si>
  <si>
    <t>Weihenstephan, DE pilsgist. Lage tot Medium einddensiteit</t>
  </si>
  <si>
    <t xml:space="preserve"> Produceert fruitige esters, Lage tot medium einddensiteit / VLB Berlin.</t>
  </si>
  <si>
    <t>Produceert subtiele esterige en fenolische smaken typisch voor tarwebier. Medium einddensiteit.</t>
  </si>
  <si>
    <t>S.G.</t>
  </si>
  <si>
    <t>7-RocheLoo</t>
  </si>
  <si>
    <t>Quadruple</t>
  </si>
  <si>
    <t>D</t>
  </si>
  <si>
    <t>Prijswinner in Mol: Goud.</t>
  </si>
  <si>
    <t>Met Westmalle gist: fruitiger, met Rochefort10 een zuiverder vergisting.</t>
  </si>
  <si>
    <t>eetlepel</t>
  </si>
  <si>
    <t>Korrelgistbrouwers: eventueel Danstar Nottingham, met US-05 minder geslaagde smaak.</t>
  </si>
  <si>
    <t>Dit bier is de voorloper van Prearis quadruple dat verkozen werd als beste hobbybier van België.</t>
  </si>
  <si>
    <t>U kan dit bier ook kleinere volume% alcool maken door minder grondstof of meer water te nemen, het blijft even lekker, kompenseer bij lagere vol% de</t>
  </si>
  <si>
    <t>mouten (dus wat meer kleurmouten en wat minder pilsmout) en pas hopgifte aan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</si>
</sst>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\ \l\i\t\."/>
    <numFmt numFmtId="173" formatCode="0.0%"/>
    <numFmt numFmtId="174" formatCode="0.0"/>
    <numFmt numFmtId="175" formatCode="0.000"/>
    <numFmt numFmtId="176" formatCode="0.00\ \c\l"/>
    <numFmt numFmtId="177" formatCode="0.0\ \k\g"/>
    <numFmt numFmtId="178" formatCode="0.00\ \P\°"/>
    <numFmt numFmtId="179" formatCode="0.00\ \P\t\°"/>
    <numFmt numFmtId="180" formatCode="0&quot;EBC&quot;"/>
    <numFmt numFmtId="181" formatCode="0\'"/>
    <numFmt numFmtId="182" formatCode="0.0\ \l\i\t\."/>
    <numFmt numFmtId="183" formatCode="0.0\ \P\t\°"/>
    <numFmt numFmtId="184" formatCode="0&quot;°C&quot;"/>
    <numFmt numFmtId="185" formatCode="&quot;SG&quot;\ \ 0"/>
    <numFmt numFmtId="186" formatCode="0.0\ \°\B\x"/>
    <numFmt numFmtId="187" formatCode="0.0\°\B\x"/>
    <numFmt numFmtId="188" formatCode="0.0&quot;L/kg&quot;"/>
    <numFmt numFmtId="189" formatCode="&quot;op&quot;\ 0\ \°\C"/>
    <numFmt numFmtId="190" formatCode="0\ \°\C"/>
    <numFmt numFmtId="191" formatCode="0.0\°\C"/>
    <numFmt numFmtId="192" formatCode="0\ &quot;min.&quot;"/>
    <numFmt numFmtId="193" formatCode="&quot;of&quot;\ 0.00\ \°\P"/>
    <numFmt numFmtId="194" formatCode="&quot;of&quot;\ 0.0"/>
    <numFmt numFmtId="195" formatCode="&quot;of&quot;\ 0.0\ \°\P"/>
    <numFmt numFmtId="196" formatCode="0\ \g\."/>
    <numFmt numFmtId="197" formatCode="0.0\ \c\l"/>
    <numFmt numFmtId="198" formatCode="&quot;of&quot;\ 0.0\ \°\P\t"/>
    <numFmt numFmtId="199" formatCode="&quot;of&quot;\ 0.0&quot;°Bx&quot;"/>
    <numFmt numFmtId="200" formatCode="0.00&quot;L/kg&quot;"/>
    <numFmt numFmtId="201" formatCode="&quot;SG&quot;0"/>
    <numFmt numFmtId="202" formatCode="&quot;SG:&quot;0"/>
    <numFmt numFmtId="203" formatCode="&quot;SG=&quot;0"/>
    <numFmt numFmtId="204" formatCode="0.0&quot;%&quot;"/>
    <numFmt numFmtId="205" formatCode="0.0\L"/>
    <numFmt numFmtId="206" formatCode="0.0000"/>
    <numFmt numFmtId="207" formatCode="&quot;alc= &quot;0.0&quot;vol%&quot;"/>
    <numFmt numFmtId="208" formatCode="0\ &quot;g/L&quot;"/>
    <numFmt numFmtId="209" formatCode="0.0\ &quot;g/L&quot;"/>
    <numFmt numFmtId="210" formatCode="&quot;END&quot;\ mmm\ yy"/>
    <numFmt numFmtId="211" formatCode="0\ &quot;d.&quot;"/>
    <numFmt numFmtId="212" formatCode="0.000\ \k\g"/>
    <numFmt numFmtId="213" formatCode="&quot;SG&quot;\ \ 0.0"/>
    <numFmt numFmtId="214" formatCode="0\L"/>
    <numFmt numFmtId="215" formatCode="0.00\L"/>
    <numFmt numFmtId="216" formatCode="0.00000"/>
    <numFmt numFmtId="217" formatCode="0\ \k\W"/>
    <numFmt numFmtId="218" formatCode="0.0\ \g\."/>
    <numFmt numFmtId="219" formatCode="0.0&quot;EBC&quot;"/>
    <numFmt numFmtId="220" formatCode="#,##0.000"/>
    <numFmt numFmtId="221" formatCode="#,##0.0000"/>
    <numFmt numFmtId="222" formatCode="0.000000"/>
  </numFmts>
  <fonts count="87">
    <font>
      <sz val="10"/>
      <name val="Arial"/>
      <family val="0"/>
    </font>
    <font>
      <b/>
      <i/>
      <sz val="12"/>
      <color indexed="12"/>
      <name val="Arial Narrow"/>
      <family val="2"/>
    </font>
    <font>
      <sz val="9"/>
      <color indexed="56"/>
      <name val="Arial Narrow"/>
      <family val="2"/>
    </font>
    <font>
      <sz val="10"/>
      <color indexed="12"/>
      <name val="Arial Narrow"/>
      <family val="2"/>
    </font>
    <font>
      <sz val="8"/>
      <color indexed="8"/>
      <name val="Arial Narrow"/>
      <family val="2"/>
    </font>
    <font>
      <b/>
      <sz val="10"/>
      <color indexed="12"/>
      <name val="Arial Narrow"/>
      <family val="2"/>
    </font>
    <font>
      <b/>
      <sz val="8"/>
      <name val="Tahoma"/>
      <family val="2"/>
    </font>
    <font>
      <sz val="9"/>
      <color indexed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color indexed="10"/>
      <name val="Tahoma"/>
      <family val="2"/>
    </font>
    <font>
      <b/>
      <sz val="9"/>
      <color indexed="10"/>
      <name val="Arial Narrow"/>
      <family val="2"/>
    </font>
    <font>
      <sz val="8"/>
      <name val="Tahoma"/>
      <family val="2"/>
    </font>
    <font>
      <b/>
      <sz val="9"/>
      <color indexed="12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i/>
      <sz val="9"/>
      <color indexed="5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8"/>
      <name val="Wingdings"/>
      <family val="0"/>
    </font>
    <font>
      <b/>
      <sz val="9"/>
      <color indexed="17"/>
      <name val="Arial Narrow"/>
      <family val="2"/>
    </font>
    <font>
      <sz val="10"/>
      <color indexed="10"/>
      <name val="Arial Narrow"/>
      <family val="2"/>
    </font>
    <font>
      <sz val="9"/>
      <color indexed="17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sz val="8"/>
      <name val="Arial Narrow"/>
      <family val="2"/>
    </font>
    <font>
      <sz val="9"/>
      <color indexed="10"/>
      <name val="Wingdings"/>
      <family val="0"/>
    </font>
    <font>
      <sz val="8"/>
      <color indexed="10"/>
      <name val="Tahoma"/>
      <family val="2"/>
    </font>
    <font>
      <sz val="9"/>
      <name val="Arial"/>
      <family val="2"/>
    </font>
    <font>
      <vertAlign val="superscript"/>
      <sz val="9"/>
      <color indexed="8"/>
      <name val="Arial Narrow"/>
      <family val="2"/>
    </font>
    <font>
      <sz val="8"/>
      <color indexed="8"/>
      <name val="Wingdings"/>
      <family val="0"/>
    </font>
    <font>
      <i/>
      <sz val="9"/>
      <color indexed="17"/>
      <name val="Arial Narrow"/>
      <family val="2"/>
    </font>
    <font>
      <sz val="8"/>
      <color indexed="22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6"/>
      <name val="Wingdings"/>
      <family val="0"/>
    </font>
    <font>
      <sz val="6"/>
      <name val="Arial Narrow"/>
      <family val="2"/>
    </font>
    <font>
      <i/>
      <sz val="9"/>
      <color indexed="21"/>
      <name val="Arial Narrow"/>
      <family val="2"/>
    </font>
    <font>
      <sz val="8"/>
      <name val="Wingdings"/>
      <family val="0"/>
    </font>
    <font>
      <b/>
      <sz val="10"/>
      <color indexed="8"/>
      <name val="Arial Narrow"/>
      <family val="2"/>
    </font>
    <font>
      <sz val="9"/>
      <name val="Wingdings"/>
      <family val="0"/>
    </font>
    <font>
      <sz val="8"/>
      <color indexed="12"/>
      <name val="Arial Narrow"/>
      <family val="2"/>
    </font>
    <font>
      <sz val="9"/>
      <color indexed="12"/>
      <name val="Arial"/>
      <family val="2"/>
    </font>
    <font>
      <sz val="11"/>
      <color indexed="8"/>
      <name val="Arial Narrow"/>
      <family val="2"/>
    </font>
    <font>
      <sz val="9"/>
      <color indexed="8"/>
      <name val="Geneva"/>
      <family val="0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9"/>
      <color indexed="10"/>
      <name val="Arial"/>
      <family val="2"/>
    </font>
    <font>
      <b/>
      <sz val="10"/>
      <color indexed="10"/>
      <name val="Tahoma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b/>
      <sz val="12"/>
      <color indexed="12"/>
      <name val="Arial"/>
      <family val="2"/>
    </font>
    <font>
      <sz val="7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9"/>
      <color indexed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6"/>
        <bgColor indexed="9"/>
      </patternFill>
    </fill>
    <fill>
      <patternFill patternType="gray125">
        <fgColor indexed="41"/>
        <bgColor indexed="9"/>
      </patternFill>
    </fill>
    <fill>
      <patternFill patternType="mediumGray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42"/>
      </patternFill>
    </fill>
    <fill>
      <patternFill patternType="lightGray">
        <fgColor indexed="41"/>
        <bgColor indexed="9"/>
      </patternFill>
    </fill>
    <fill>
      <patternFill patternType="gray125">
        <fgColor indexed="41"/>
      </patternFill>
    </fill>
    <fill>
      <patternFill patternType="gray125">
        <fgColor indexed="13"/>
      </patternFill>
    </fill>
    <fill>
      <patternFill patternType="gray125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3"/>
      </patternFill>
    </fill>
    <fill>
      <patternFill patternType="solid">
        <fgColor indexed="13"/>
        <bgColor indexed="64"/>
      </patternFill>
    </fill>
    <fill>
      <patternFill patternType="gray125">
        <fgColor indexed="34"/>
        <bgColor indexed="9"/>
      </patternFill>
    </fill>
    <fill>
      <patternFill patternType="gray125">
        <fgColor indexed="26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26"/>
        <bgColor indexed="9"/>
      </patternFill>
    </fill>
  </fills>
  <borders count="1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 style="thin"/>
      <top style="hair">
        <color indexed="17"/>
      </top>
      <bottom style="thin"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17"/>
      </left>
      <right style="double"/>
      <top style="hair"/>
      <bottom style="hair"/>
    </border>
    <border>
      <left style="hair">
        <color indexed="17"/>
      </left>
      <right style="double"/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/>
      <bottom style="hair"/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6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0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double">
        <color indexed="10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2"/>
      </right>
      <top style="hair">
        <color indexed="12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 style="thin"/>
      <right style="hair">
        <color indexed="50"/>
      </right>
      <top style="thin"/>
      <bottom style="hair">
        <color indexed="50"/>
      </bottom>
    </border>
    <border>
      <left style="hair">
        <color indexed="50"/>
      </left>
      <right style="hair">
        <color indexed="50"/>
      </right>
      <top style="thin"/>
      <bottom style="hair">
        <color indexed="50"/>
      </bottom>
    </border>
    <border>
      <left>
        <color indexed="63"/>
      </left>
      <right style="hair">
        <color indexed="50"/>
      </right>
      <top style="thin"/>
      <bottom style="hair">
        <color indexed="50"/>
      </bottom>
    </border>
    <border>
      <left style="hair">
        <color indexed="50"/>
      </left>
      <right style="thin"/>
      <top style="thin"/>
      <bottom style="hair">
        <color indexed="50"/>
      </bottom>
    </border>
    <border>
      <left style="thin"/>
      <right style="hair">
        <color indexed="50"/>
      </right>
      <top>
        <color indexed="63"/>
      </top>
      <bottom>
        <color indexed="63"/>
      </bottom>
    </border>
    <border>
      <left style="thin"/>
      <right style="hair">
        <color indexed="50"/>
      </right>
      <top style="hair">
        <color indexed="12"/>
      </top>
      <bottom>
        <color indexed="63"/>
      </bottom>
    </border>
    <border>
      <left style="thin"/>
      <right style="hair">
        <color indexed="50"/>
      </right>
      <top>
        <color indexed="63"/>
      </top>
      <bottom style="hair">
        <color indexed="12"/>
      </bottom>
    </border>
    <border>
      <left style="thin"/>
      <right style="hair">
        <color indexed="50"/>
      </right>
      <top style="hair">
        <color indexed="12"/>
      </top>
      <bottom style="thin"/>
    </border>
    <border>
      <left style="hair">
        <color indexed="50"/>
      </left>
      <right style="hair">
        <color indexed="50"/>
      </right>
      <top style="hair">
        <color indexed="12"/>
      </top>
      <bottom style="thin"/>
    </border>
    <border>
      <left style="hair">
        <color indexed="50"/>
      </left>
      <right>
        <color indexed="63"/>
      </right>
      <top style="hair">
        <color indexed="12"/>
      </top>
      <bottom style="thin"/>
    </border>
    <border>
      <left style="hair">
        <color indexed="50"/>
      </left>
      <right style="thin"/>
      <top style="hair">
        <color indexed="12"/>
      </top>
      <bottom style="thin"/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7"/>
      </left>
      <right style="hair">
        <color indexed="17"/>
      </right>
      <top style="thin"/>
      <bottom>
        <color indexed="63"/>
      </bottom>
    </border>
    <border>
      <left style="hair">
        <color indexed="17"/>
      </left>
      <right style="double"/>
      <top style="thin"/>
      <bottom>
        <color indexed="63"/>
      </bottom>
    </border>
    <border>
      <left style="thin"/>
      <right style="hair">
        <color indexed="17"/>
      </right>
      <top style="hair"/>
      <bottom style="thin"/>
    </border>
    <border>
      <left style="hair">
        <color indexed="17"/>
      </left>
      <right style="hair">
        <color indexed="17"/>
      </right>
      <top style="hair"/>
      <bottom style="thin"/>
    </border>
    <border>
      <left>
        <color indexed="63"/>
      </left>
      <right style="dashed">
        <color indexed="17"/>
      </right>
      <top style="hair"/>
      <bottom style="thin"/>
    </border>
    <border>
      <left style="dashed">
        <color indexed="17"/>
      </left>
      <right style="dashed">
        <color indexed="17"/>
      </right>
      <top>
        <color indexed="63"/>
      </top>
      <bottom style="thin"/>
    </border>
    <border>
      <left style="dashed">
        <color indexed="17"/>
      </left>
      <right>
        <color indexed="63"/>
      </right>
      <top style="hair"/>
      <bottom style="thin"/>
    </border>
    <border>
      <left style="hair">
        <color indexed="17"/>
      </left>
      <right style="double"/>
      <top style="hair"/>
      <bottom style="thin"/>
    </border>
    <border>
      <left style="thin"/>
      <right style="hair">
        <color indexed="17"/>
      </right>
      <top style="thin"/>
      <bottom>
        <color indexed="63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double">
        <color indexed="10"/>
      </right>
      <top style="thin">
        <color indexed="18"/>
      </top>
      <bottom style="thin">
        <color indexed="18"/>
      </bottom>
    </border>
    <border>
      <left>
        <color indexed="63"/>
      </left>
      <right style="double">
        <color indexed="10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>
        <color indexed="63"/>
      </left>
      <right style="thin"/>
      <top>
        <color indexed="63"/>
      </top>
      <bottom style="thin">
        <color indexed="18"/>
      </bottom>
    </border>
    <border>
      <left style="thin"/>
      <right style="hair">
        <color indexed="17"/>
      </right>
      <top style="hair"/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hair">
        <color indexed="17"/>
      </left>
      <right style="thin"/>
      <top style="thin"/>
      <bottom>
        <color indexed="63"/>
      </bottom>
    </border>
    <border>
      <left style="hair">
        <color indexed="17"/>
      </left>
      <right style="thin"/>
      <top style="hair"/>
      <bottom style="hair"/>
    </border>
    <border>
      <left style="hair">
        <color indexed="17"/>
      </left>
      <right style="thin"/>
      <top>
        <color indexed="63"/>
      </top>
      <bottom>
        <color indexed="63"/>
      </bottom>
    </border>
    <border>
      <left style="hair">
        <color indexed="17"/>
      </left>
      <right style="thin"/>
      <top style="hair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5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 style="thin"/>
      <bottom style="thin"/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50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17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double"/>
      <right>
        <color indexed="63"/>
      </right>
      <top style="thin"/>
      <bottom style="hair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thin"/>
    </border>
    <border>
      <left style="double"/>
      <right>
        <color indexed="63"/>
      </right>
      <top style="hair"/>
      <bottom style="thin"/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8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9" borderId="0" applyNumberFormat="0" applyBorder="0" applyAlignment="0" applyProtection="0"/>
    <xf numFmtId="0" fontId="69" fillId="3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72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79" fillId="22" borderId="0" applyNumberFormat="0" applyBorder="0" applyAlignment="0" applyProtection="0"/>
    <xf numFmtId="0" fontId="0" fillId="23" borderId="7" applyNumberFormat="0" applyFont="0" applyAlignment="0" applyProtection="0"/>
    <xf numFmtId="0" fontId="80" fillId="20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8" fillId="24" borderId="0" xfId="0" applyFont="1" applyFill="1" applyAlignment="1">
      <alignment/>
    </xf>
    <xf numFmtId="49" fontId="3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174" fontId="7" fillId="0" borderId="1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174" fontId="14" fillId="0" borderId="11" xfId="0" applyNumberFormat="1" applyFont="1" applyBorder="1" applyAlignment="1" applyProtection="1">
      <alignment horizontal="center" vertical="center"/>
      <protection/>
    </xf>
    <xf numFmtId="174" fontId="7" fillId="0" borderId="10" xfId="0" applyNumberFormat="1" applyFont="1" applyBorder="1" applyAlignment="1" applyProtection="1">
      <alignment horizontal="center" vertical="center"/>
      <protection locked="0"/>
    </xf>
    <xf numFmtId="17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174" fontId="14" fillId="0" borderId="11" xfId="0" applyNumberFormat="1" applyFont="1" applyFill="1" applyBorder="1" applyAlignment="1" applyProtection="1">
      <alignment horizontal="center" vertical="center"/>
      <protection/>
    </xf>
    <xf numFmtId="174" fontId="7" fillId="0" borderId="14" xfId="0" applyNumberFormat="1" applyFont="1" applyFill="1" applyBorder="1" applyAlignment="1" applyProtection="1">
      <alignment horizontal="center" vertical="center"/>
      <protection locked="0"/>
    </xf>
    <xf numFmtId="174" fontId="14" fillId="0" borderId="15" xfId="0" applyNumberFormat="1" applyFont="1" applyFill="1" applyBorder="1" applyAlignment="1" applyProtection="1">
      <alignment horizontal="center" vertical="center"/>
      <protection/>
    </xf>
    <xf numFmtId="174" fontId="14" fillId="0" borderId="16" xfId="0" applyNumberFormat="1" applyFont="1" applyFill="1" applyBorder="1" applyAlignment="1" applyProtection="1">
      <alignment horizontal="center" vertical="center"/>
      <protection/>
    </xf>
    <xf numFmtId="0" fontId="5" fillId="25" borderId="17" xfId="0" applyNumberFormat="1" applyFont="1" applyFill="1" applyBorder="1" applyAlignment="1" applyProtection="1">
      <alignment horizontal="center" vertical="center"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 applyProtection="1">
      <alignment horizontal="center" vertical="center"/>
      <protection/>
    </xf>
    <xf numFmtId="0" fontId="5" fillId="25" borderId="0" xfId="0" applyNumberFormat="1" applyFont="1" applyFill="1" applyBorder="1" applyAlignment="1" applyProtection="1">
      <alignment horizontal="center" vertical="center"/>
      <protection locked="0"/>
    </xf>
    <xf numFmtId="1" fontId="16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" fontId="16" fillId="26" borderId="0" xfId="0" applyNumberFormat="1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17" fillId="24" borderId="0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right"/>
    </xf>
    <xf numFmtId="190" fontId="20" fillId="24" borderId="0" xfId="0" applyNumberFormat="1" applyFont="1" applyFill="1" applyBorder="1" applyAlignment="1" applyProtection="1">
      <alignment horizontal="center" vertical="center"/>
      <protection/>
    </xf>
    <xf numFmtId="192" fontId="20" fillId="24" borderId="20" xfId="0" applyNumberFormat="1" applyFont="1" applyFill="1" applyBorder="1" applyAlignment="1" applyProtection="1">
      <alignment horizontal="center" vertical="center"/>
      <protection/>
    </xf>
    <xf numFmtId="190" fontId="20" fillId="24" borderId="21" xfId="0" applyNumberFormat="1" applyFont="1" applyFill="1" applyBorder="1" applyAlignment="1" applyProtection="1">
      <alignment horizontal="center" vertical="center"/>
      <protection/>
    </xf>
    <xf numFmtId="0" fontId="27" fillId="24" borderId="21" xfId="0" applyNumberFormat="1" applyFont="1" applyFill="1" applyBorder="1" applyAlignment="1" applyProtection="1">
      <alignment horizontal="left" vertical="center"/>
      <protection/>
    </xf>
    <xf numFmtId="190" fontId="20" fillId="24" borderId="22" xfId="0" applyNumberFormat="1" applyFont="1" applyFill="1" applyBorder="1" applyAlignment="1" applyProtection="1">
      <alignment horizontal="center" vertical="center"/>
      <protection/>
    </xf>
    <xf numFmtId="0" fontId="31" fillId="24" borderId="21" xfId="0" applyFont="1" applyFill="1" applyBorder="1" applyAlignment="1" applyProtection="1">
      <alignment horizontal="left" vertical="center"/>
      <protection/>
    </xf>
    <xf numFmtId="0" fontId="7" fillId="24" borderId="0" xfId="0" applyFont="1" applyFill="1" applyAlignment="1">
      <alignment horizontal="left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9" fillId="24" borderId="18" xfId="0" applyFont="1" applyFill="1" applyBorder="1" applyAlignment="1">
      <alignment horizontal="right" vertical="center"/>
    </xf>
    <xf numFmtId="182" fontId="26" fillId="27" borderId="23" xfId="0" applyNumberFormat="1" applyFont="1" applyFill="1" applyBorder="1" applyAlignment="1" applyProtection="1">
      <alignment horizontal="center" vertical="center"/>
      <protection/>
    </xf>
    <xf numFmtId="179" fontId="26" fillId="27" borderId="24" xfId="0" applyNumberFormat="1" applyFont="1" applyFill="1" applyBorder="1" applyAlignment="1" applyProtection="1">
      <alignment horizontal="left" vertical="center"/>
      <protection/>
    </xf>
    <xf numFmtId="174" fontId="26" fillId="27" borderId="25" xfId="0" applyNumberFormat="1" applyFont="1" applyFill="1" applyBorder="1" applyAlignment="1" applyProtection="1">
      <alignment horizontal="center" vertical="center"/>
      <protection/>
    </xf>
    <xf numFmtId="173" fontId="26" fillId="27" borderId="26" xfId="0" applyNumberFormat="1" applyFont="1" applyFill="1" applyBorder="1" applyAlignment="1" applyProtection="1">
      <alignment horizontal="center" vertical="center"/>
      <protection/>
    </xf>
    <xf numFmtId="0" fontId="5" fillId="27" borderId="17" xfId="0" applyNumberFormat="1" applyFont="1" applyFill="1" applyBorder="1" applyAlignment="1" applyProtection="1">
      <alignment horizontal="center" vertical="center"/>
      <protection locked="0"/>
    </xf>
    <xf numFmtId="183" fontId="11" fillId="27" borderId="27" xfId="0" applyNumberFormat="1" applyFont="1" applyFill="1" applyBorder="1" applyAlignment="1" applyProtection="1">
      <alignment horizontal="center" vertical="center"/>
      <protection/>
    </xf>
    <xf numFmtId="187" fontId="14" fillId="27" borderId="28" xfId="0" applyNumberFormat="1" applyFont="1" applyFill="1" applyBorder="1" applyAlignment="1" applyProtection="1">
      <alignment horizontal="center" vertical="center"/>
      <protection/>
    </xf>
    <xf numFmtId="183" fontId="14" fillId="27" borderId="27" xfId="0" applyNumberFormat="1" applyFont="1" applyFill="1" applyBorder="1" applyAlignment="1" applyProtection="1">
      <alignment horizontal="center" vertical="center"/>
      <protection/>
    </xf>
    <xf numFmtId="190" fontId="20" fillId="27" borderId="22" xfId="0" applyNumberFormat="1" applyFont="1" applyFill="1" applyBorder="1" applyAlignment="1" applyProtection="1">
      <alignment horizontal="center" vertical="center"/>
      <protection/>
    </xf>
    <xf numFmtId="191" fontId="20" fillId="27" borderId="0" xfId="0" applyNumberFormat="1" applyFont="1" applyFill="1" applyBorder="1" applyAlignment="1" applyProtection="1" quotePrefix="1">
      <alignment horizontal="center" vertical="center"/>
      <protection/>
    </xf>
    <xf numFmtId="192" fontId="20" fillId="27" borderId="0" xfId="0" applyNumberFormat="1" applyFont="1" applyFill="1" applyBorder="1" applyAlignment="1" applyProtection="1">
      <alignment horizontal="center" vertical="center"/>
      <protection/>
    </xf>
    <xf numFmtId="174" fontId="5" fillId="27" borderId="29" xfId="0" applyNumberFormat="1" applyFont="1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>
      <alignment/>
    </xf>
    <xf numFmtId="174" fontId="14" fillId="29" borderId="31" xfId="0" applyNumberFormat="1" applyFont="1" applyFill="1" applyBorder="1" applyAlignment="1" quotePrefix="1">
      <alignment horizontal="center" vertical="center"/>
    </xf>
    <xf numFmtId="174" fontId="14" fillId="0" borderId="32" xfId="0" applyNumberFormat="1" applyFont="1" applyFill="1" applyBorder="1" applyAlignment="1" quotePrefix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2" fillId="29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quotePrefix="1">
      <alignment horizontal="center" vertical="center"/>
    </xf>
    <xf numFmtId="175" fontId="3" fillId="0" borderId="12" xfId="0" applyNumberFormat="1" applyFont="1" applyFill="1" applyBorder="1" applyAlignment="1" applyProtection="1">
      <alignment horizontal="center" vertical="center"/>
      <protection locked="0"/>
    </xf>
    <xf numFmtId="175" fontId="3" fillId="0" borderId="14" xfId="0" applyNumberFormat="1" applyFont="1" applyFill="1" applyBorder="1" applyAlignment="1" applyProtection="1">
      <alignment horizontal="center" vertical="center"/>
      <protection locked="0"/>
    </xf>
    <xf numFmtId="174" fontId="7" fillId="30" borderId="10" xfId="0" applyNumberFormat="1" applyFont="1" applyFill="1" applyBorder="1" applyAlignment="1" applyProtection="1">
      <alignment horizontal="center" vertical="center"/>
      <protection locked="0"/>
    </xf>
    <xf numFmtId="175" fontId="3" fillId="30" borderId="10" xfId="0" applyNumberFormat="1" applyFont="1" applyFill="1" applyBorder="1" applyAlignment="1" applyProtection="1">
      <alignment horizontal="center" vertical="center"/>
      <protection locked="0"/>
    </xf>
    <xf numFmtId="2" fontId="14" fillId="30" borderId="0" xfId="0" applyNumberFormat="1" applyFont="1" applyFill="1" applyBorder="1" applyAlignment="1" applyProtection="1">
      <alignment horizontal="center" vertical="center"/>
      <protection/>
    </xf>
    <xf numFmtId="174" fontId="14" fillId="30" borderId="11" xfId="0" applyNumberFormat="1" applyFont="1" applyFill="1" applyBorder="1" applyAlignment="1" applyProtection="1">
      <alignment horizontal="center" vertical="center"/>
      <protection/>
    </xf>
    <xf numFmtId="174" fontId="7" fillId="30" borderId="10" xfId="0" applyNumberFormat="1" applyFont="1" applyFill="1" applyBorder="1" applyAlignment="1" applyProtection="1">
      <alignment horizontal="center" vertical="center"/>
      <protection/>
    </xf>
    <xf numFmtId="175" fontId="3" fillId="30" borderId="35" xfId="0" applyNumberFormat="1" applyFont="1" applyFill="1" applyBorder="1" applyAlignment="1" applyProtection="1">
      <alignment horizontal="center" vertical="center"/>
      <protection locked="0"/>
    </xf>
    <xf numFmtId="2" fontId="14" fillId="30" borderId="15" xfId="0" applyNumberFormat="1" applyFont="1" applyFill="1" applyBorder="1" applyAlignment="1" applyProtection="1">
      <alignment horizontal="center" vertical="center"/>
      <protection/>
    </xf>
    <xf numFmtId="174" fontId="14" fillId="30" borderId="16" xfId="0" applyNumberFormat="1" applyFont="1" applyFill="1" applyBorder="1" applyAlignment="1" applyProtection="1">
      <alignment horizontal="center" vertical="center"/>
      <protection/>
    </xf>
    <xf numFmtId="174" fontId="7" fillId="29" borderId="10" xfId="0" applyNumberFormat="1" applyFont="1" applyFill="1" applyBorder="1" applyAlignment="1" applyProtection="1">
      <alignment horizontal="center" vertical="center"/>
      <protection/>
    </xf>
    <xf numFmtId="2" fontId="14" fillId="29" borderId="0" xfId="0" applyNumberFormat="1" applyFont="1" applyFill="1" applyBorder="1" applyAlignment="1" applyProtection="1">
      <alignment horizontal="center" vertical="center"/>
      <protection/>
    </xf>
    <xf numFmtId="174" fontId="14" fillId="29" borderId="11" xfId="0" applyNumberFormat="1" applyFont="1" applyFill="1" applyBorder="1" applyAlignment="1" applyProtection="1">
      <alignment horizontal="center" vertical="center"/>
      <protection/>
    </xf>
    <xf numFmtId="174" fontId="7" fillId="29" borderId="10" xfId="0" applyNumberFormat="1" applyFont="1" applyFill="1" applyBorder="1" applyAlignment="1" applyProtection="1">
      <alignment horizontal="center" vertical="center"/>
      <protection locked="0"/>
    </xf>
    <xf numFmtId="174" fontId="14" fillId="29" borderId="16" xfId="0" applyNumberFormat="1" applyFont="1" applyFill="1" applyBorder="1" applyAlignment="1" applyProtection="1">
      <alignment horizontal="center" vertical="center"/>
      <protection/>
    </xf>
    <xf numFmtId="174" fontId="38" fillId="24" borderId="18" xfId="0" applyNumberFormat="1" applyFont="1" applyFill="1" applyBorder="1" applyAlignment="1">
      <alignment/>
    </xf>
    <xf numFmtId="2" fontId="38" fillId="24" borderId="18" xfId="0" applyNumberFormat="1" applyFont="1" applyFill="1" applyBorder="1" applyAlignment="1" applyProtection="1">
      <alignment/>
      <protection hidden="1"/>
    </xf>
    <xf numFmtId="0" fontId="14" fillId="24" borderId="0" xfId="0" applyNumberFormat="1" applyFont="1" applyFill="1" applyBorder="1" applyAlignment="1" applyProtection="1">
      <alignment horizontal="left" vertical="center"/>
      <protection locked="0"/>
    </xf>
    <xf numFmtId="203" fontId="20" fillId="27" borderId="36" xfId="0" applyNumberFormat="1" applyFont="1" applyFill="1" applyBorder="1" applyAlignment="1" applyProtection="1">
      <alignment horizontal="center" vertical="center"/>
      <protection/>
    </xf>
    <xf numFmtId="196" fontId="7" fillId="29" borderId="22" xfId="0" applyNumberFormat="1" applyFont="1" applyFill="1" applyBorder="1" applyAlignment="1" applyProtection="1">
      <alignment horizontal="center" vertical="center"/>
      <protection locked="0"/>
    </xf>
    <xf numFmtId="174" fontId="7" fillId="29" borderId="33" xfId="0" applyNumberFormat="1" applyFont="1" applyFill="1" applyBorder="1" applyAlignment="1" applyProtection="1">
      <alignment horizontal="center" vertical="center"/>
      <protection locked="0"/>
    </xf>
    <xf numFmtId="1" fontId="7" fillId="29" borderId="22" xfId="0" applyNumberFormat="1" applyFont="1" applyFill="1" applyBorder="1" applyAlignment="1" applyProtection="1">
      <alignment horizontal="center" vertical="center"/>
      <protection locked="0"/>
    </xf>
    <xf numFmtId="196" fontId="7" fillId="0" borderId="37" xfId="0" applyNumberFormat="1" applyFont="1" applyFill="1" applyBorder="1" applyAlignment="1" applyProtection="1">
      <alignment horizontal="center" vertical="center"/>
      <protection locked="0"/>
    </xf>
    <xf numFmtId="174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96" fontId="7" fillId="0" borderId="38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quotePrefix="1">
      <alignment horizontal="center" vertical="center"/>
    </xf>
    <xf numFmtId="0" fontId="9" fillId="31" borderId="39" xfId="0" applyFont="1" applyFill="1" applyBorder="1" applyAlignment="1" applyProtection="1">
      <alignment horizontal="center" vertical="center" wrapText="1"/>
      <protection/>
    </xf>
    <xf numFmtId="0" fontId="9" fillId="32" borderId="40" xfId="0" applyFont="1" applyFill="1" applyBorder="1" applyAlignment="1" applyProtection="1">
      <alignment horizontal="left" vertical="center"/>
      <protection/>
    </xf>
    <xf numFmtId="0" fontId="9" fillId="31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1" borderId="39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 wrapText="1"/>
      <protection/>
    </xf>
    <xf numFmtId="0" fontId="38" fillId="24" borderId="18" xfId="0" applyFont="1" applyFill="1" applyBorder="1" applyAlignment="1">
      <alignment/>
    </xf>
    <xf numFmtId="0" fontId="7" fillId="24" borderId="0" xfId="0" applyNumberFormat="1" applyFont="1" applyFill="1" applyBorder="1" applyAlignment="1" applyProtection="1">
      <alignment horizontal="right" vertical="center"/>
      <protection locked="0"/>
    </xf>
    <xf numFmtId="173" fontId="13" fillId="27" borderId="17" xfId="0" applyNumberFormat="1" applyFont="1" applyFill="1" applyBorder="1" applyAlignment="1" applyProtection="1">
      <alignment horizontal="center" vertical="center"/>
      <protection locked="0"/>
    </xf>
    <xf numFmtId="0" fontId="4" fillId="27" borderId="19" xfId="0" applyFont="1" applyFill="1" applyBorder="1" applyAlignment="1">
      <alignment horizontal="left" vertical="top"/>
    </xf>
    <xf numFmtId="0" fontId="4" fillId="27" borderId="19" xfId="0" applyFont="1" applyFill="1" applyBorder="1" applyAlignment="1">
      <alignment horizontal="left"/>
    </xf>
    <xf numFmtId="0" fontId="0" fillId="27" borderId="0" xfId="0" applyFill="1" applyBorder="1" applyAlignment="1">
      <alignment/>
    </xf>
    <xf numFmtId="0" fontId="17" fillId="27" borderId="18" xfId="0" applyFont="1" applyFill="1" applyBorder="1" applyAlignment="1">
      <alignment horizontal="right" vertical="top"/>
    </xf>
    <xf numFmtId="0" fontId="17" fillId="27" borderId="0" xfId="0" applyFont="1" applyFill="1" applyBorder="1" applyAlignment="1" quotePrefix="1">
      <alignment horizontal="center"/>
    </xf>
    <xf numFmtId="0" fontId="17" fillId="27" borderId="18" xfId="0" applyFont="1" applyFill="1" applyBorder="1" applyAlignment="1">
      <alignment horizontal="right"/>
    </xf>
    <xf numFmtId="0" fontId="31" fillId="24" borderId="0" xfId="0" applyFont="1" applyFill="1" applyAlignment="1">
      <alignment/>
    </xf>
    <xf numFmtId="0" fontId="31" fillId="24" borderId="19" xfId="0" applyFont="1" applyFill="1" applyBorder="1" applyAlignment="1">
      <alignment/>
    </xf>
    <xf numFmtId="204" fontId="38" fillId="24" borderId="18" xfId="0" applyNumberFormat="1" applyFont="1" applyFill="1" applyBorder="1" applyAlignment="1">
      <alignment/>
    </xf>
    <xf numFmtId="0" fontId="0" fillId="0" borderId="0" xfId="0" applyAlignment="1">
      <alignment/>
    </xf>
    <xf numFmtId="174" fontId="7" fillId="0" borderId="25" xfId="0" applyNumberFormat="1" applyFont="1" applyBorder="1" applyAlignment="1" applyProtection="1">
      <alignment horizontal="center" vertical="center"/>
      <protection locked="0"/>
    </xf>
    <xf numFmtId="0" fontId="9" fillId="29" borderId="39" xfId="0" applyFont="1" applyFill="1" applyBorder="1" applyAlignment="1" applyProtection="1">
      <alignment horizontal="center" vertical="center"/>
      <protection/>
    </xf>
    <xf numFmtId="0" fontId="9" fillId="29" borderId="41" xfId="0" applyFont="1" applyFill="1" applyBorder="1" applyAlignment="1" applyProtection="1">
      <alignment horizontal="center" vertical="center"/>
      <protection/>
    </xf>
    <xf numFmtId="0" fontId="42" fillId="24" borderId="0" xfId="0" applyFont="1" applyFill="1" applyAlignment="1">
      <alignment horizontal="center"/>
    </xf>
    <xf numFmtId="49" fontId="7" fillId="27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0" fontId="5" fillId="27" borderId="29" xfId="0" applyNumberFormat="1" applyFont="1" applyFill="1" applyBorder="1" applyAlignment="1" applyProtection="1">
      <alignment horizontal="center" vertical="center"/>
      <protection locked="0"/>
    </xf>
    <xf numFmtId="174" fontId="3" fillId="27" borderId="29" xfId="0" applyNumberFormat="1" applyFont="1" applyFill="1" applyBorder="1" applyAlignment="1" applyProtection="1">
      <alignment horizontal="center" vertical="center"/>
      <protection locked="0"/>
    </xf>
    <xf numFmtId="182" fontId="7" fillId="27" borderId="43" xfId="0" applyNumberFormat="1" applyFont="1" applyFill="1" applyBorder="1" applyAlignment="1" applyProtection="1" quotePrefix="1">
      <alignment horizontal="center" vertical="center"/>
      <protection locked="0"/>
    </xf>
    <xf numFmtId="173" fontId="20" fillId="27" borderId="44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>
      <alignment horizontal="right"/>
    </xf>
    <xf numFmtId="0" fontId="8" fillId="24" borderId="0" xfId="0" applyFont="1" applyFill="1" applyAlignment="1">
      <alignment horizontal="right"/>
    </xf>
    <xf numFmtId="173" fontId="14" fillId="27" borderId="44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horizontal="right"/>
    </xf>
    <xf numFmtId="0" fontId="29" fillId="24" borderId="0" xfId="0" applyFont="1" applyFill="1" applyAlignment="1">
      <alignment horizontal="right"/>
    </xf>
    <xf numFmtId="209" fontId="38" fillId="24" borderId="0" xfId="0" applyNumberFormat="1" applyFont="1" applyFill="1" applyAlignment="1">
      <alignment/>
    </xf>
    <xf numFmtId="0" fontId="29" fillId="24" borderId="0" xfId="0" applyFont="1" applyFill="1" applyAlignment="1">
      <alignment horizontal="center" vertical="center"/>
    </xf>
    <xf numFmtId="184" fontId="5" fillId="27" borderId="45" xfId="0" applyNumberFormat="1" applyFont="1" applyFill="1" applyBorder="1" applyAlignment="1" applyProtection="1">
      <alignment horizontal="center" vertical="center"/>
      <protection locked="0"/>
    </xf>
    <xf numFmtId="188" fontId="28" fillId="25" borderId="46" xfId="0" applyNumberFormat="1" applyFont="1" applyFill="1" applyBorder="1" applyAlignment="1" applyProtection="1">
      <alignment horizontal="center" vertical="center"/>
      <protection/>
    </xf>
    <xf numFmtId="0" fontId="29" fillId="0" borderId="47" xfId="0" applyNumberFormat="1" applyFont="1" applyBorder="1" applyAlignment="1" applyProtection="1">
      <alignment horizontal="right" vertical="center"/>
      <protection locked="0"/>
    </xf>
    <xf numFmtId="172" fontId="20" fillId="27" borderId="48" xfId="0" applyNumberFormat="1" applyFont="1" applyFill="1" applyBorder="1" applyAlignment="1" applyProtection="1">
      <alignment horizontal="center" vertical="center"/>
      <protection/>
    </xf>
    <xf numFmtId="189" fontId="20" fillId="27" borderId="48" xfId="0" applyNumberFormat="1" applyFont="1" applyFill="1" applyBorder="1" applyAlignment="1" applyProtection="1">
      <alignment horizontal="right" vertical="center"/>
      <protection/>
    </xf>
    <xf numFmtId="190" fontId="20" fillId="27" borderId="48" xfId="0" applyNumberFormat="1" applyFont="1" applyFill="1" applyBorder="1" applyAlignment="1" applyProtection="1">
      <alignment horizontal="center" vertical="center"/>
      <protection/>
    </xf>
    <xf numFmtId="0" fontId="9" fillId="24" borderId="49" xfId="0" applyFont="1" applyFill="1" applyBorder="1" applyAlignment="1">
      <alignment/>
    </xf>
    <xf numFmtId="0" fontId="8" fillId="24" borderId="50" xfId="0" applyFont="1" applyFill="1" applyBorder="1" applyAlignment="1">
      <alignment/>
    </xf>
    <xf numFmtId="49" fontId="11" fillId="0" borderId="51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vertical="center"/>
      <protection/>
    </xf>
    <xf numFmtId="0" fontId="8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right"/>
      <protection/>
    </xf>
    <xf numFmtId="0" fontId="8" fillId="24" borderId="0" xfId="0" applyFont="1" applyFill="1" applyAlignment="1" applyProtection="1">
      <alignment/>
      <protection/>
    </xf>
    <xf numFmtId="0" fontId="8" fillId="24" borderId="19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181" fontId="20" fillId="27" borderId="52" xfId="0" applyNumberFormat="1" applyFont="1" applyFill="1" applyBorder="1" applyAlignment="1" applyProtection="1">
      <alignment horizontal="center" vertical="center"/>
      <protection/>
    </xf>
    <xf numFmtId="0" fontId="42" fillId="24" borderId="0" xfId="0" applyFont="1" applyFill="1" applyBorder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/>
      <protection/>
    </xf>
    <xf numFmtId="0" fontId="8" fillId="24" borderId="53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right"/>
      <protection/>
    </xf>
    <xf numFmtId="182" fontId="20" fillId="27" borderId="54" xfId="0" applyNumberFormat="1" applyFont="1" applyFill="1" applyBorder="1" applyAlignment="1" applyProtection="1">
      <alignment horizontal="center" vertical="center"/>
      <protection/>
    </xf>
    <xf numFmtId="0" fontId="8" fillId="24" borderId="30" xfId="0" applyFont="1" applyFill="1" applyBorder="1" applyAlignment="1">
      <alignment/>
    </xf>
    <xf numFmtId="0" fontId="3" fillId="24" borderId="55" xfId="0" applyFont="1" applyFill="1" applyBorder="1" applyAlignment="1" applyProtection="1">
      <alignment horizontal="right" vertical="center"/>
      <protection/>
    </xf>
    <xf numFmtId="0" fontId="5" fillId="27" borderId="56" xfId="0" applyNumberFormat="1" applyFont="1" applyFill="1" applyBorder="1" applyAlignment="1" applyProtection="1">
      <alignment horizontal="center" vertical="center"/>
      <protection locked="0"/>
    </xf>
    <xf numFmtId="0" fontId="14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/>
      <protection/>
    </xf>
    <xf numFmtId="205" fontId="38" fillId="24" borderId="0" xfId="0" applyNumberFormat="1" applyFont="1" applyFill="1" applyAlignment="1" applyProtection="1">
      <alignment horizontal="right" vertical="center"/>
      <protection/>
    </xf>
    <xf numFmtId="175" fontId="38" fillId="24" borderId="0" xfId="0" applyNumberFormat="1" applyFont="1" applyFill="1" applyAlignment="1" applyProtection="1" quotePrefix="1">
      <alignment vertical="center"/>
      <protection/>
    </xf>
    <xf numFmtId="204" fontId="38" fillId="24" borderId="0" xfId="0" applyNumberFormat="1" applyFont="1" applyFill="1" applyAlignment="1" applyProtection="1" quotePrefix="1">
      <alignment vertical="center"/>
      <protection/>
    </xf>
    <xf numFmtId="204" fontId="38" fillId="24" borderId="0" xfId="0" applyNumberFormat="1" applyFont="1" applyFill="1" applyAlignment="1" applyProtection="1" quotePrefix="1">
      <alignment horizontal="center" vertical="center"/>
      <protection/>
    </xf>
    <xf numFmtId="0" fontId="7" fillId="24" borderId="0" xfId="0" applyFont="1" applyFill="1" applyAlignment="1" applyProtection="1">
      <alignment/>
      <protection/>
    </xf>
    <xf numFmtId="0" fontId="7" fillId="24" borderId="0" xfId="0" applyFont="1" applyFill="1" applyAlignment="1" applyProtection="1">
      <alignment horizontal="right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7" fillId="24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Border="1" applyAlignment="1" applyProtection="1">
      <alignment horizontal="right" vertical="center"/>
      <protection/>
    </xf>
    <xf numFmtId="0" fontId="31" fillId="0" borderId="57" xfId="0" applyNumberFormat="1" applyFont="1" applyBorder="1" applyAlignment="1" applyProtection="1">
      <alignment horizontal="left" vertical="center"/>
      <protection locked="0"/>
    </xf>
    <xf numFmtId="0" fontId="31" fillId="0" borderId="58" xfId="0" applyNumberFormat="1" applyFont="1" applyBorder="1" applyAlignment="1" applyProtection="1">
      <alignment vertical="center"/>
      <protection locked="0"/>
    </xf>
    <xf numFmtId="0" fontId="31" fillId="0" borderId="57" xfId="0" applyNumberFormat="1" applyFont="1" applyFill="1" applyBorder="1" applyAlignment="1" applyProtection="1">
      <alignment horizontal="left" vertical="center"/>
      <protection locked="0"/>
    </xf>
    <xf numFmtId="0" fontId="31" fillId="0" borderId="58" xfId="0" applyNumberFormat="1" applyFont="1" applyBorder="1" applyAlignment="1" applyProtection="1">
      <alignment horizontal="left" vertical="center"/>
      <protection locked="0"/>
    </xf>
    <xf numFmtId="0" fontId="31" fillId="0" borderId="57" xfId="0" applyFont="1" applyFill="1" applyBorder="1" applyAlignment="1" applyProtection="1">
      <alignment horizontal="center" vertical="center"/>
      <protection locked="0"/>
    </xf>
    <xf numFmtId="0" fontId="31" fillId="0" borderId="58" xfId="0" applyFont="1" applyBorder="1" applyAlignment="1" applyProtection="1">
      <alignment horizontal="center" vertical="center"/>
      <protection locked="0"/>
    </xf>
    <xf numFmtId="0" fontId="31" fillId="24" borderId="0" xfId="0" applyFont="1" applyFill="1" applyBorder="1" applyAlignment="1" applyProtection="1">
      <alignment/>
      <protection locked="0"/>
    </xf>
    <xf numFmtId="181" fontId="7" fillId="29" borderId="33" xfId="0" applyNumberFormat="1" applyFont="1" applyFill="1" applyBorder="1" applyAlignment="1" applyProtection="1">
      <alignment horizontal="center" vertical="center"/>
      <protection locked="0"/>
    </xf>
    <xf numFmtId="181" fontId="7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59" xfId="0" applyFont="1" applyBorder="1" applyAlignment="1">
      <alignment horizontal="right" vertical="center"/>
    </xf>
    <xf numFmtId="0" fontId="0" fillId="24" borderId="60" xfId="0" applyFill="1" applyBorder="1" applyAlignment="1">
      <alignment/>
    </xf>
    <xf numFmtId="172" fontId="5" fillId="27" borderId="45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Border="1" applyAlignment="1">
      <alignment horizontal="right" vertical="center"/>
    </xf>
    <xf numFmtId="0" fontId="14" fillId="24" borderId="0" xfId="0" applyFont="1" applyFill="1" applyBorder="1" applyAlignment="1" applyProtection="1">
      <alignment horizontal="left" vertical="center"/>
      <protection/>
    </xf>
    <xf numFmtId="177" fontId="20" fillId="27" borderId="61" xfId="0" applyNumberFormat="1" applyFont="1" applyFill="1" applyBorder="1" applyAlignment="1" applyProtection="1">
      <alignment horizontal="center" vertical="center"/>
      <protection/>
    </xf>
    <xf numFmtId="183" fontId="11" fillId="27" borderId="61" xfId="0" applyNumberFormat="1" applyFont="1" applyFill="1" applyBorder="1" applyAlignment="1" applyProtection="1">
      <alignment horizontal="center" vertical="center"/>
      <protection/>
    </xf>
    <xf numFmtId="180" fontId="21" fillId="27" borderId="62" xfId="0" applyNumberFormat="1" applyFont="1" applyFill="1" applyBorder="1" applyAlignment="1" applyProtection="1">
      <alignment horizontal="center" vertical="center"/>
      <protection/>
    </xf>
    <xf numFmtId="0" fontId="15" fillId="25" borderId="63" xfId="0" applyNumberFormat="1" applyFont="1" applyFill="1" applyBorder="1" applyAlignment="1" applyProtection="1">
      <alignment horizontal="center" vertical="center"/>
      <protection/>
    </xf>
    <xf numFmtId="0" fontId="17" fillId="33" borderId="64" xfId="0" applyNumberFormat="1" applyFont="1" applyFill="1" applyBorder="1" applyAlignment="1" applyProtection="1">
      <alignment horizontal="center" vertical="center"/>
      <protection/>
    </xf>
    <xf numFmtId="1" fontId="23" fillId="0" borderId="64" xfId="0" applyNumberFormat="1" applyFont="1" applyBorder="1" applyAlignment="1" applyProtection="1">
      <alignment horizontal="center" vertical="center"/>
      <protection/>
    </xf>
    <xf numFmtId="0" fontId="17" fillId="33" borderId="65" xfId="0" applyNumberFormat="1" applyFont="1" applyFill="1" applyBorder="1" applyAlignment="1" applyProtection="1">
      <alignment horizontal="center" vertical="center"/>
      <protection/>
    </xf>
    <xf numFmtId="0" fontId="17" fillId="33" borderId="66" xfId="0" applyNumberFormat="1" applyFont="1" applyFill="1" applyBorder="1" applyAlignment="1" applyProtection="1">
      <alignment horizontal="center" vertical="center"/>
      <protection/>
    </xf>
    <xf numFmtId="0" fontId="4" fillId="29" borderId="67" xfId="0" applyNumberFormat="1" applyFont="1" applyFill="1" applyBorder="1" applyAlignment="1" applyProtection="1">
      <alignment horizontal="left" vertical="center"/>
      <protection/>
    </xf>
    <xf numFmtId="0" fontId="4" fillId="0" borderId="67" xfId="0" applyNumberFormat="1" applyFont="1" applyBorder="1" applyAlignment="1" applyProtection="1">
      <alignment horizontal="left" vertical="center"/>
      <protection/>
    </xf>
    <xf numFmtId="0" fontId="4" fillId="29" borderId="67" xfId="0" applyNumberFormat="1" applyFont="1" applyFill="1" applyBorder="1" applyAlignment="1" applyProtection="1">
      <alignment horizontal="left" vertical="center"/>
      <protection locked="0"/>
    </xf>
    <xf numFmtId="0" fontId="4" fillId="0" borderId="67" xfId="0" applyNumberFormat="1" applyFont="1" applyBorder="1" applyAlignment="1" applyProtection="1">
      <alignment horizontal="left" vertical="center"/>
      <protection locked="0"/>
    </xf>
    <xf numFmtId="174" fontId="4" fillId="29" borderId="67" xfId="0" applyNumberFormat="1" applyFont="1" applyFill="1" applyBorder="1" applyAlignment="1" applyProtection="1">
      <alignment horizontal="left" vertical="center"/>
      <protection locked="0"/>
    </xf>
    <xf numFmtId="0" fontId="17" fillId="0" borderId="68" xfId="0" applyNumberFormat="1" applyFont="1" applyFill="1" applyBorder="1" applyAlignment="1" applyProtection="1">
      <alignment horizontal="left" vertical="center"/>
      <protection locked="0"/>
    </xf>
    <xf numFmtId="0" fontId="4" fillId="30" borderId="67" xfId="0" applyNumberFormat="1" applyFont="1" applyFill="1" applyBorder="1" applyAlignment="1" applyProtection="1">
      <alignment horizontal="left" vertical="center"/>
      <protection locked="0"/>
    </xf>
    <xf numFmtId="0" fontId="17" fillId="0" borderId="69" xfId="0" applyNumberFormat="1" applyFont="1" applyFill="1" applyBorder="1" applyAlignment="1" applyProtection="1">
      <alignment horizontal="left" vertical="center"/>
      <protection locked="0"/>
    </xf>
    <xf numFmtId="0" fontId="17" fillId="30" borderId="67" xfId="0" applyNumberFormat="1" applyFont="1" applyFill="1" applyBorder="1" applyAlignment="1" applyProtection="1">
      <alignment horizontal="left" vertical="center"/>
      <protection/>
    </xf>
    <xf numFmtId="0" fontId="17" fillId="0" borderId="70" xfId="0" applyNumberFormat="1" applyFont="1" applyFill="1" applyBorder="1" applyAlignment="1" applyProtection="1">
      <alignment horizontal="left" vertical="center"/>
      <protection/>
    </xf>
    <xf numFmtId="174" fontId="7" fillId="0" borderId="71" xfId="0" applyNumberFormat="1" applyFont="1" applyFill="1" applyBorder="1" applyAlignment="1" applyProtection="1">
      <alignment horizontal="center" vertical="center"/>
      <protection/>
    </xf>
    <xf numFmtId="2" fontId="14" fillId="26" borderId="30" xfId="0" applyNumberFormat="1" applyFont="1" applyFill="1" applyBorder="1" applyAlignment="1" applyProtection="1">
      <alignment horizontal="center" vertical="center"/>
      <protection/>
    </xf>
    <xf numFmtId="174" fontId="14" fillId="0" borderId="72" xfId="0" applyNumberFormat="1" applyFont="1" applyFill="1" applyBorder="1" applyAlignment="1" applyProtection="1">
      <alignment horizontal="center" vertical="center"/>
      <protection/>
    </xf>
    <xf numFmtId="1" fontId="44" fillId="0" borderId="71" xfId="0" applyNumberFormat="1" applyFont="1" applyFill="1" applyBorder="1" applyAlignment="1" applyProtection="1">
      <alignment horizontal="center" vertical="center"/>
      <protection/>
    </xf>
    <xf numFmtId="1" fontId="44" fillId="0" borderId="73" xfId="0" applyNumberFormat="1" applyFont="1" applyFill="1" applyBorder="1" applyAlignment="1" applyProtection="1">
      <alignment horizontal="center" vertical="center"/>
      <protection/>
    </xf>
    <xf numFmtId="172" fontId="11" fillId="27" borderId="21" xfId="0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42" fillId="24" borderId="0" xfId="0" applyFont="1" applyFill="1" applyAlignment="1">
      <alignment horizontal="right"/>
    </xf>
    <xf numFmtId="191" fontId="20" fillId="24" borderId="22" xfId="0" applyNumberFormat="1" applyFont="1" applyFill="1" applyBorder="1" applyAlignment="1" applyProtection="1" quotePrefix="1">
      <alignment horizontal="center" vertical="center"/>
      <protection/>
    </xf>
    <xf numFmtId="190" fontId="3" fillId="27" borderId="29" xfId="0" applyNumberFormat="1" applyFont="1" applyFill="1" applyBorder="1" applyAlignment="1" applyProtection="1">
      <alignment horizontal="center" vertical="center"/>
      <protection locked="0"/>
    </xf>
    <xf numFmtId="190" fontId="20" fillId="27" borderId="49" xfId="0" applyNumberFormat="1" applyFont="1" applyFill="1" applyBorder="1" applyAlignment="1" applyProtection="1">
      <alignment horizontal="left" vertical="center"/>
      <protection/>
    </xf>
    <xf numFmtId="198" fontId="11" fillId="27" borderId="49" xfId="0" applyNumberFormat="1" applyFont="1" applyFill="1" applyBorder="1" applyAlignment="1" applyProtection="1">
      <alignment horizontal="left" vertical="center"/>
      <protection/>
    </xf>
    <xf numFmtId="199" fontId="11" fillId="27" borderId="49" xfId="0" applyNumberFormat="1" applyFont="1" applyFill="1" applyBorder="1" applyAlignment="1" applyProtection="1">
      <alignment horizontal="center" vertical="center"/>
      <protection/>
    </xf>
    <xf numFmtId="2" fontId="5" fillId="27" borderId="74" xfId="0" applyNumberFormat="1" applyFont="1" applyFill="1" applyBorder="1" applyAlignment="1" applyProtection="1">
      <alignment horizontal="center" vertical="center"/>
      <protection locked="0"/>
    </xf>
    <xf numFmtId="190" fontId="11" fillId="27" borderId="75" xfId="0" applyNumberFormat="1" applyFont="1" applyFill="1" applyBorder="1" applyAlignment="1" applyProtection="1">
      <alignment horizontal="left" vertical="center"/>
      <protection/>
    </xf>
    <xf numFmtId="190" fontId="7" fillId="27" borderId="74" xfId="0" applyNumberFormat="1" applyFont="1" applyFill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27" fillId="0" borderId="77" xfId="0" applyFont="1" applyBorder="1" applyAlignment="1" quotePrefix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0" fillId="29" borderId="78" xfId="0" applyFont="1" applyFill="1" applyBorder="1" applyAlignment="1">
      <alignment horizontal="right" vertical="center"/>
    </xf>
    <xf numFmtId="174" fontId="20" fillId="29" borderId="79" xfId="0" applyNumberFormat="1" applyFont="1" applyFill="1" applyBorder="1" applyAlignment="1">
      <alignment horizontal="center" vertical="center"/>
    </xf>
    <xf numFmtId="0" fontId="8" fillId="29" borderId="80" xfId="0" applyFont="1" applyFill="1" applyBorder="1" applyAlignment="1">
      <alignment/>
    </xf>
    <xf numFmtId="0" fontId="14" fillId="29" borderId="81" xfId="0" applyFont="1" applyFill="1" applyBorder="1" applyAlignment="1">
      <alignment horizontal="right"/>
    </xf>
    <xf numFmtId="174" fontId="14" fillId="29" borderId="82" xfId="0" applyNumberFormat="1" applyFont="1" applyFill="1" applyBorder="1" applyAlignment="1">
      <alignment horizontal="right" vertical="center"/>
    </xf>
    <xf numFmtId="174" fontId="20" fillId="29" borderId="83" xfId="0" applyNumberFormat="1" applyFont="1" applyFill="1" applyBorder="1" applyAlignment="1">
      <alignment horizontal="center" vertical="center"/>
    </xf>
    <xf numFmtId="181" fontId="7" fillId="29" borderId="79" xfId="0" applyNumberFormat="1" applyFont="1" applyFill="1" applyBorder="1" applyAlignment="1" applyProtection="1">
      <alignment horizontal="center" vertical="center"/>
      <protection locked="0"/>
    </xf>
    <xf numFmtId="0" fontId="30" fillId="0" borderId="84" xfId="0" applyFont="1" applyBorder="1" applyAlignment="1">
      <alignment horizontal="center" vertical="center"/>
    </xf>
    <xf numFmtId="0" fontId="9" fillId="32" borderId="85" xfId="0" applyFont="1" applyFill="1" applyBorder="1" applyAlignment="1" applyProtection="1">
      <alignment horizontal="left" vertical="center"/>
      <protection/>
    </xf>
    <xf numFmtId="0" fontId="9" fillId="32" borderId="86" xfId="0" applyFont="1" applyFill="1" applyBorder="1" applyAlignment="1" applyProtection="1">
      <alignment horizontal="left" vertical="center"/>
      <protection/>
    </xf>
    <xf numFmtId="0" fontId="40" fillId="32" borderId="85" xfId="0" applyFont="1" applyFill="1" applyBorder="1" applyAlignment="1" applyProtection="1">
      <alignment horizontal="left" vertical="center"/>
      <protection/>
    </xf>
    <xf numFmtId="0" fontId="8" fillId="32" borderId="87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31" fillId="32" borderId="88" xfId="0" applyNumberFormat="1" applyFont="1" applyFill="1" applyBorder="1" applyAlignment="1" applyProtection="1">
      <alignment horizontal="left" vertical="center" wrapText="1"/>
      <protection/>
    </xf>
    <xf numFmtId="0" fontId="31" fillId="32" borderId="89" xfId="0" applyNumberFormat="1" applyFont="1" applyFill="1" applyBorder="1" applyAlignment="1" applyProtection="1">
      <alignment horizontal="left" vertical="center" wrapText="1"/>
      <protection/>
    </xf>
    <xf numFmtId="0" fontId="31" fillId="32" borderId="90" xfId="0" applyNumberFormat="1" applyFont="1" applyFill="1" applyBorder="1" applyAlignment="1" applyProtection="1">
      <alignment horizontal="left" vertical="center" wrapText="1"/>
      <protection/>
    </xf>
    <xf numFmtId="0" fontId="31" fillId="32" borderId="90" xfId="0" applyNumberFormat="1" applyFont="1" applyFill="1" applyBorder="1" applyAlignment="1" applyProtection="1">
      <alignment horizontal="left" vertical="center"/>
      <protection/>
    </xf>
    <xf numFmtId="0" fontId="31" fillId="32" borderId="91" xfId="0" applyNumberFormat="1" applyFont="1" applyFill="1" applyBorder="1" applyAlignment="1" applyProtection="1">
      <alignment horizontal="left" vertical="center"/>
      <protection/>
    </xf>
    <xf numFmtId="0" fontId="7" fillId="29" borderId="92" xfId="0" applyFont="1" applyFill="1" applyBorder="1" applyAlignment="1" applyProtection="1">
      <alignment horizontal="left" vertical="center"/>
      <protection locked="0"/>
    </xf>
    <xf numFmtId="0" fontId="7" fillId="34" borderId="92" xfId="0" applyFont="1" applyFill="1" applyBorder="1" applyAlignment="1" applyProtection="1">
      <alignment horizontal="left" vertical="center"/>
      <protection locked="0"/>
    </xf>
    <xf numFmtId="0" fontId="9" fillId="29" borderId="39" xfId="0" applyFont="1" applyFill="1" applyBorder="1" applyAlignment="1" applyProtection="1" quotePrefix="1">
      <alignment horizontal="center" vertical="center"/>
      <protection/>
    </xf>
    <xf numFmtId="0" fontId="9" fillId="31" borderId="39" xfId="0" applyFont="1" applyFill="1" applyBorder="1" applyAlignment="1" applyProtection="1" quotePrefix="1">
      <alignment horizontal="center" vertical="center"/>
      <protection/>
    </xf>
    <xf numFmtId="209" fontId="20" fillId="27" borderId="93" xfId="0" applyNumberFormat="1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/>
      <protection/>
    </xf>
    <xf numFmtId="196" fontId="11" fillId="27" borderId="93" xfId="0" applyNumberFormat="1" applyFont="1" applyFill="1" applyBorder="1" applyAlignment="1" applyProtection="1">
      <alignment vertical="center"/>
      <protection/>
    </xf>
    <xf numFmtId="0" fontId="8" fillId="24" borderId="30" xfId="0" applyFont="1" applyFill="1" applyBorder="1" applyAlignment="1" applyProtection="1">
      <alignment/>
      <protection/>
    </xf>
    <xf numFmtId="190" fontId="7" fillId="27" borderId="17" xfId="0" applyNumberFormat="1" applyFont="1" applyFill="1" applyBorder="1" applyAlignment="1" applyProtection="1">
      <alignment horizontal="center" vertical="center"/>
      <protection locked="0"/>
    </xf>
    <xf numFmtId="211" fontId="7" fillId="27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24" borderId="0" xfId="0" applyFont="1" applyFill="1" applyAlignment="1">
      <alignment horizontal="right"/>
    </xf>
    <xf numFmtId="209" fontId="11" fillId="27" borderId="94" xfId="0" applyNumberFormat="1" applyFont="1" applyFill="1" applyBorder="1" applyAlignment="1" applyProtection="1">
      <alignment horizontal="center" vertical="center"/>
      <protection/>
    </xf>
    <xf numFmtId="0" fontId="34" fillId="24" borderId="0" xfId="0" applyFont="1" applyFill="1" applyAlignment="1">
      <alignment/>
    </xf>
    <xf numFmtId="0" fontId="51" fillId="24" borderId="0" xfId="0" applyFont="1" applyFill="1" applyAlignment="1" applyProtection="1">
      <alignment horizontal="left"/>
      <protection hidden="1" locked="0"/>
    </xf>
    <xf numFmtId="0" fontId="17" fillId="24" borderId="0" xfId="0" applyFont="1" applyFill="1" applyAlignment="1">
      <alignment/>
    </xf>
    <xf numFmtId="0" fontId="46" fillId="24" borderId="0" xfId="0" applyFont="1" applyFill="1" applyAlignment="1">
      <alignment horizontal="left"/>
    </xf>
    <xf numFmtId="0" fontId="46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172" fontId="17" fillId="24" borderId="0" xfId="0" applyNumberFormat="1" applyFont="1" applyFill="1" applyAlignment="1">
      <alignment horizontal="left"/>
    </xf>
    <xf numFmtId="172" fontId="17" fillId="24" borderId="0" xfId="0" applyNumberFormat="1" applyFont="1" applyFill="1" applyBorder="1" applyAlignment="1" applyProtection="1">
      <alignment horizontal="left" vertical="center"/>
      <protection/>
    </xf>
    <xf numFmtId="0" fontId="2" fillId="0" borderId="95" xfId="0" applyFont="1" applyBorder="1" applyAlignment="1">
      <alignment horizontal="center" vertical="center"/>
    </xf>
    <xf numFmtId="181" fontId="7" fillId="29" borderId="96" xfId="0" applyNumberFormat="1" applyFont="1" applyFill="1" applyBorder="1" applyAlignment="1" applyProtection="1">
      <alignment horizontal="center" vertical="center"/>
      <protection locked="0"/>
    </xf>
    <xf numFmtId="181" fontId="7" fillId="0" borderId="97" xfId="0" applyNumberFormat="1" applyFont="1" applyBorder="1" applyAlignment="1" applyProtection="1">
      <alignment horizontal="center" vertical="center"/>
      <protection locked="0"/>
    </xf>
    <xf numFmtId="181" fontId="7" fillId="29" borderId="98" xfId="0" applyNumberFormat="1" applyFont="1" applyFill="1" applyBorder="1" applyAlignment="1" applyProtection="1">
      <alignment horizontal="center" vertical="center"/>
      <protection locked="0"/>
    </xf>
    <xf numFmtId="0" fontId="7" fillId="29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29" borderId="79" xfId="0" applyFont="1" applyFill="1" applyBorder="1" applyAlignment="1" applyProtection="1">
      <alignment horizontal="left" vertical="center"/>
      <protection locked="0"/>
    </xf>
    <xf numFmtId="172" fontId="17" fillId="24" borderId="49" xfId="0" applyNumberFormat="1" applyFont="1" applyFill="1" applyBorder="1" applyAlignment="1" applyProtection="1">
      <alignment horizontal="left" vertical="center"/>
      <protection/>
    </xf>
    <xf numFmtId="0" fontId="17" fillId="24" borderId="18" xfId="0" applyNumberFormat="1" applyFont="1" applyFill="1" applyBorder="1" applyAlignment="1" applyProtection="1">
      <alignment horizontal="left" vertical="center"/>
      <protection/>
    </xf>
    <xf numFmtId="1" fontId="17" fillId="24" borderId="18" xfId="0" applyNumberFormat="1" applyFont="1" applyFill="1" applyBorder="1" applyAlignment="1" applyProtection="1">
      <alignment horizontal="left" vertical="center"/>
      <protection/>
    </xf>
    <xf numFmtId="1" fontId="15" fillId="24" borderId="18" xfId="0" applyNumberFormat="1" applyFont="1" applyFill="1" applyBorder="1" applyAlignment="1" applyProtection="1">
      <alignment horizontal="left" vertical="center"/>
      <protection/>
    </xf>
    <xf numFmtId="0" fontId="51" fillId="24" borderId="99" xfId="0" applyFont="1" applyFill="1" applyBorder="1" applyAlignment="1" applyProtection="1">
      <alignment horizontal="left"/>
      <protection hidden="1" locked="0"/>
    </xf>
    <xf numFmtId="0" fontId="17" fillId="24" borderId="99" xfId="0" applyFont="1" applyFill="1" applyBorder="1" applyAlignment="1">
      <alignment/>
    </xf>
    <xf numFmtId="0" fontId="17" fillId="24" borderId="100" xfId="0" applyFont="1" applyFill="1" applyBorder="1" applyAlignment="1">
      <alignment/>
    </xf>
    <xf numFmtId="0" fontId="17" fillId="24" borderId="0" xfId="0" applyNumberFormat="1" applyFont="1" applyFill="1" applyBorder="1" applyAlignment="1" applyProtection="1">
      <alignment horizontal="left" vertical="center" indent="1"/>
      <protection/>
    </xf>
    <xf numFmtId="0" fontId="17" fillId="24" borderId="19" xfId="0" applyNumberFormat="1" applyFont="1" applyFill="1" applyBorder="1" applyAlignment="1" applyProtection="1">
      <alignment horizontal="left" vertical="center" indent="1"/>
      <protection/>
    </xf>
    <xf numFmtId="0" fontId="17" fillId="24" borderId="0" xfId="0" applyFont="1" applyFill="1" applyAlignment="1" applyProtection="1">
      <alignment/>
      <protection/>
    </xf>
    <xf numFmtId="0" fontId="17" fillId="24" borderId="0" xfId="0" applyFont="1" applyFill="1" applyBorder="1" applyAlignment="1" applyProtection="1">
      <alignment/>
      <protection/>
    </xf>
    <xf numFmtId="0" fontId="17" fillId="24" borderId="101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53" fillId="24" borderId="0" xfId="0" applyFont="1" applyFill="1" applyAlignment="1" applyProtection="1">
      <alignment/>
      <protection/>
    </xf>
    <xf numFmtId="49" fontId="17" fillId="24" borderId="0" xfId="0" applyNumberFormat="1" applyFont="1" applyFill="1" applyAlignment="1" applyProtection="1">
      <alignment/>
      <protection/>
    </xf>
    <xf numFmtId="0" fontId="41" fillId="24" borderId="47" xfId="0" applyFont="1" applyFill="1" applyBorder="1" applyAlignment="1" applyProtection="1">
      <alignment/>
      <protection/>
    </xf>
    <xf numFmtId="0" fontId="17" fillId="24" borderId="50" xfId="0" applyFont="1" applyFill="1" applyBorder="1" applyAlignment="1" applyProtection="1">
      <alignment/>
      <protection/>
    </xf>
    <xf numFmtId="0" fontId="41" fillId="24" borderId="49" xfId="0" applyFont="1" applyFill="1" applyBorder="1" applyAlignment="1" applyProtection="1">
      <alignment/>
      <protection/>
    </xf>
    <xf numFmtId="0" fontId="17" fillId="24" borderId="49" xfId="0" applyFont="1" applyFill="1" applyBorder="1" applyAlignment="1" applyProtection="1">
      <alignment/>
      <protection/>
    </xf>
    <xf numFmtId="0" fontId="17" fillId="24" borderId="19" xfId="0" applyFont="1" applyFill="1" applyBorder="1" applyAlignment="1" applyProtection="1">
      <alignment/>
      <protection/>
    </xf>
    <xf numFmtId="212" fontId="17" fillId="24" borderId="18" xfId="0" applyNumberFormat="1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 applyProtection="1">
      <alignment horizontal="right"/>
      <protection/>
    </xf>
    <xf numFmtId="0" fontId="17" fillId="24" borderId="18" xfId="0" applyFont="1" applyFill="1" applyBorder="1" applyAlignment="1" applyProtection="1">
      <alignment horizontal="center"/>
      <protection/>
    </xf>
    <xf numFmtId="196" fontId="17" fillId="24" borderId="0" xfId="0" applyNumberFormat="1" applyFont="1" applyFill="1" applyBorder="1" applyAlignment="1" applyProtection="1">
      <alignment horizontal="right"/>
      <protection/>
    </xf>
    <xf numFmtId="181" fontId="17" fillId="24" borderId="0" xfId="0" applyNumberFormat="1" applyFont="1" applyFill="1" applyBorder="1" applyAlignment="1" applyProtection="1">
      <alignment horizontal="right"/>
      <protection/>
    </xf>
    <xf numFmtId="174" fontId="9" fillId="24" borderId="18" xfId="0" applyNumberFormat="1" applyFont="1" applyFill="1" applyBorder="1" applyAlignment="1" applyProtection="1">
      <alignment horizontal="center"/>
      <protection/>
    </xf>
    <xf numFmtId="1" fontId="17" fillId="24" borderId="0" xfId="0" applyNumberFormat="1" applyFont="1" applyFill="1" applyBorder="1" applyAlignment="1" applyProtection="1" quotePrefix="1">
      <alignment horizontal="right"/>
      <protection/>
    </xf>
    <xf numFmtId="174" fontId="18" fillId="24" borderId="0" xfId="0" applyNumberFormat="1" applyFont="1" applyFill="1" applyBorder="1" applyAlignment="1" applyProtection="1">
      <alignment horizontal="center"/>
      <protection/>
    </xf>
    <xf numFmtId="0" fontId="9" fillId="24" borderId="0" xfId="0" applyFont="1" applyFill="1" applyAlignment="1" applyProtection="1">
      <alignment/>
      <protection/>
    </xf>
    <xf numFmtId="0" fontId="9" fillId="24" borderId="18" xfId="0" applyFont="1" applyFill="1" applyBorder="1" applyAlignment="1" applyProtection="1">
      <alignment/>
      <protection/>
    </xf>
    <xf numFmtId="0" fontId="9" fillId="24" borderId="30" xfId="0" applyFont="1" applyFill="1" applyBorder="1" applyAlignment="1" applyProtection="1">
      <alignment/>
      <protection/>
    </xf>
    <xf numFmtId="174" fontId="18" fillId="24" borderId="18" xfId="0" applyNumberFormat="1" applyFont="1" applyFill="1" applyBorder="1" applyAlignment="1" applyProtection="1">
      <alignment horizontal="left"/>
      <protection/>
    </xf>
    <xf numFmtId="212" fontId="17" fillId="24" borderId="0" xfId="0" applyNumberFormat="1" applyFont="1" applyFill="1" applyBorder="1" applyAlignment="1" applyProtection="1">
      <alignment/>
      <protection/>
    </xf>
    <xf numFmtId="0" fontId="9" fillId="24" borderId="47" xfId="0" applyFont="1" applyFill="1" applyBorder="1" applyAlignment="1" applyProtection="1">
      <alignment/>
      <protection/>
    </xf>
    <xf numFmtId="0" fontId="9" fillId="24" borderId="49" xfId="0" applyFont="1" applyFill="1" applyBorder="1" applyAlignment="1" applyProtection="1">
      <alignment/>
      <protection/>
    </xf>
    <xf numFmtId="0" fontId="9" fillId="24" borderId="49" xfId="0" applyFont="1" applyFill="1" applyBorder="1" applyAlignment="1" applyProtection="1">
      <alignment horizontal="right"/>
      <protection/>
    </xf>
    <xf numFmtId="0" fontId="9" fillId="24" borderId="49" xfId="0" applyFont="1" applyFill="1" applyBorder="1" applyAlignment="1" applyProtection="1">
      <alignment horizontal="left"/>
      <protection/>
    </xf>
    <xf numFmtId="0" fontId="9" fillId="24" borderId="50" xfId="0" applyFont="1" applyFill="1" applyBorder="1" applyAlignment="1" applyProtection="1">
      <alignment/>
      <protection/>
    </xf>
    <xf numFmtId="0" fontId="9" fillId="24" borderId="19" xfId="0" applyFont="1" applyFill="1" applyBorder="1" applyAlignment="1" applyProtection="1">
      <alignment/>
      <protection/>
    </xf>
    <xf numFmtId="181" fontId="17" fillId="24" borderId="0" xfId="0" applyNumberFormat="1" applyFont="1" applyFill="1" applyBorder="1" applyAlignment="1" applyProtection="1">
      <alignment horizontal="center"/>
      <protection/>
    </xf>
    <xf numFmtId="0" fontId="9" fillId="24" borderId="19" xfId="0" applyFont="1" applyFill="1" applyBorder="1" applyAlignment="1" applyProtection="1">
      <alignment horizontal="left"/>
      <protection/>
    </xf>
    <xf numFmtId="0" fontId="23" fillId="24" borderId="0" xfId="0" applyFont="1" applyFill="1" applyAlignment="1" applyProtection="1">
      <alignment/>
      <protection/>
    </xf>
    <xf numFmtId="0" fontId="17" fillId="24" borderId="102" xfId="0" applyFont="1" applyFill="1" applyBorder="1" applyAlignment="1" applyProtection="1">
      <alignment/>
      <protection/>
    </xf>
    <xf numFmtId="197" fontId="17" fillId="24" borderId="30" xfId="0" applyNumberFormat="1" applyFont="1" applyFill="1" applyBorder="1" applyAlignment="1" applyProtection="1">
      <alignment/>
      <protection/>
    </xf>
    <xf numFmtId="0" fontId="9" fillId="24" borderId="102" xfId="0" applyFont="1" applyFill="1" applyBorder="1" applyAlignment="1" applyProtection="1">
      <alignment horizontal="left"/>
      <protection/>
    </xf>
    <xf numFmtId="0" fontId="8" fillId="24" borderId="103" xfId="0" applyFont="1" applyFill="1" applyBorder="1" applyAlignment="1" applyProtection="1">
      <alignment/>
      <protection/>
    </xf>
    <xf numFmtId="0" fontId="17" fillId="24" borderId="47" xfId="0" applyNumberFormat="1" applyFont="1" applyFill="1" applyBorder="1" applyAlignment="1" applyProtection="1">
      <alignment horizontal="left" vertical="center" indent="1"/>
      <protection/>
    </xf>
    <xf numFmtId="0" fontId="17" fillId="24" borderId="49" xfId="0" applyFont="1" applyFill="1" applyBorder="1" applyAlignment="1" applyProtection="1">
      <alignment horizontal="left" indent="1"/>
      <protection/>
    </xf>
    <xf numFmtId="190" fontId="17" fillId="24" borderId="50" xfId="0" applyNumberFormat="1" applyFont="1" applyFill="1" applyBorder="1" applyAlignment="1" applyProtection="1">
      <alignment horizontal="left"/>
      <protection/>
    </xf>
    <xf numFmtId="0" fontId="17" fillId="24" borderId="18" xfId="0" applyFont="1" applyFill="1" applyBorder="1" applyAlignment="1" applyProtection="1">
      <alignment/>
      <protection/>
    </xf>
    <xf numFmtId="0" fontId="17" fillId="24" borderId="19" xfId="0" applyFont="1" applyFill="1" applyBorder="1" applyAlignment="1" applyProtection="1">
      <alignment horizontal="left" indent="1"/>
      <protection/>
    </xf>
    <xf numFmtId="192" fontId="17" fillId="24" borderId="0" xfId="0" applyNumberFormat="1" applyFont="1" applyFill="1" applyBorder="1" applyAlignment="1" applyProtection="1">
      <alignment horizontal="left"/>
      <protection/>
    </xf>
    <xf numFmtId="180" fontId="17" fillId="24" borderId="0" xfId="0" applyNumberFormat="1" applyFont="1" applyFill="1" applyBorder="1" applyAlignment="1" applyProtection="1">
      <alignment horizontal="left"/>
      <protection/>
    </xf>
    <xf numFmtId="0" fontId="17" fillId="24" borderId="0" xfId="0" applyFont="1" applyFill="1" applyBorder="1" applyAlignment="1" applyProtection="1">
      <alignment horizontal="left"/>
      <protection/>
    </xf>
    <xf numFmtId="204" fontId="15" fillId="24" borderId="18" xfId="0" applyNumberFormat="1" applyFont="1" applyFill="1" applyBorder="1" applyAlignment="1" applyProtection="1">
      <alignment horizontal="left"/>
      <protection/>
    </xf>
    <xf numFmtId="0" fontId="23" fillId="24" borderId="101" xfId="0" applyFont="1" applyFill="1" applyBorder="1" applyAlignment="1" applyProtection="1">
      <alignment/>
      <protection/>
    </xf>
    <xf numFmtId="0" fontId="8" fillId="24" borderId="104" xfId="0" applyFont="1" applyFill="1" applyBorder="1" applyAlignment="1" applyProtection="1">
      <alignment/>
      <protection/>
    </xf>
    <xf numFmtId="0" fontId="8" fillId="24" borderId="105" xfId="0" applyFont="1" applyFill="1" applyBorder="1" applyAlignment="1" applyProtection="1">
      <alignment/>
      <protection/>
    </xf>
    <xf numFmtId="172" fontId="46" fillId="36" borderId="0" xfId="0" applyNumberFormat="1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24" borderId="0" xfId="0" applyFont="1" applyFill="1" applyAlignment="1" applyProtection="1">
      <alignment/>
      <protection locked="0"/>
    </xf>
    <xf numFmtId="0" fontId="7" fillId="24" borderId="0" xfId="0" applyFont="1" applyFill="1" applyAlignment="1">
      <alignment horizontal="right" vertical="center"/>
    </xf>
    <xf numFmtId="204" fontId="38" fillId="24" borderId="106" xfId="0" applyNumberFormat="1" applyFont="1" applyFill="1" applyBorder="1" applyAlignment="1">
      <alignment horizontal="right"/>
    </xf>
    <xf numFmtId="0" fontId="42" fillId="24" borderId="107" xfId="0" applyFont="1" applyFill="1" applyBorder="1" applyAlignment="1" applyProtection="1">
      <alignment horizontal="left" vertical="center"/>
      <protection/>
    </xf>
    <xf numFmtId="0" fontId="13" fillId="27" borderId="108" xfId="0" applyNumberFormat="1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/>
    </xf>
    <xf numFmtId="0" fontId="9" fillId="24" borderId="18" xfId="0" applyFont="1" applyFill="1" applyBorder="1" applyAlignment="1">
      <alignment horizontal="center" vertical="center"/>
    </xf>
    <xf numFmtId="0" fontId="9" fillId="24" borderId="109" xfId="0" applyFont="1" applyFill="1" applyBorder="1" applyAlignment="1">
      <alignment horizontal="left" vertical="center"/>
    </xf>
    <xf numFmtId="1" fontId="15" fillId="24" borderId="18" xfId="0" applyNumberFormat="1" applyFont="1" applyFill="1" applyBorder="1" applyAlignment="1" applyProtection="1">
      <alignment horizontal="left"/>
      <protection/>
    </xf>
    <xf numFmtId="0" fontId="14" fillId="24" borderId="47" xfId="0" applyFont="1" applyFill="1" applyBorder="1" applyAlignment="1">
      <alignment/>
    </xf>
    <xf numFmtId="0" fontId="3" fillId="24" borderId="18" xfId="0" applyFont="1" applyFill="1" applyBorder="1" applyAlignment="1">
      <alignment horizontal="left"/>
    </xf>
    <xf numFmtId="0" fontId="3" fillId="24" borderId="19" xfId="0" applyFont="1" applyFill="1" applyBorder="1" applyAlignment="1">
      <alignment horizontal="left"/>
    </xf>
    <xf numFmtId="191" fontId="38" fillId="24" borderId="0" xfId="0" applyNumberFormat="1" applyFont="1" applyFill="1" applyBorder="1" applyAlignment="1">
      <alignment/>
    </xf>
    <xf numFmtId="181" fontId="5" fillId="27" borderId="108" xfId="0" applyNumberFormat="1" applyFont="1" applyFill="1" applyBorder="1" applyAlignment="1" applyProtection="1">
      <alignment horizontal="center" vertical="center"/>
      <protection locked="0"/>
    </xf>
    <xf numFmtId="174" fontId="38" fillId="24" borderId="0" xfId="0" applyNumberFormat="1" applyFont="1" applyFill="1" applyBorder="1" applyAlignment="1">
      <alignment/>
    </xf>
    <xf numFmtId="0" fontId="27" fillId="24" borderId="19" xfId="0" applyFont="1" applyFill="1" applyBorder="1" applyAlignment="1" applyProtection="1">
      <alignment horizontal="right" vertical="center"/>
      <protection/>
    </xf>
    <xf numFmtId="0" fontId="27" fillId="24" borderId="110" xfId="0" applyFont="1" applyFill="1" applyBorder="1" applyAlignment="1" applyProtection="1">
      <alignment horizontal="left" vertical="center"/>
      <protection/>
    </xf>
    <xf numFmtId="2" fontId="38" fillId="24" borderId="111" xfId="0" applyNumberFormat="1" applyFont="1" applyFill="1" applyBorder="1" applyAlignment="1">
      <alignment horizontal="right"/>
    </xf>
    <xf numFmtId="1" fontId="38" fillId="24" borderId="19" xfId="0" applyNumberFormat="1" applyFont="1" applyFill="1" applyBorder="1" applyAlignment="1" applyProtection="1">
      <alignment horizontal="left"/>
      <protection/>
    </xf>
    <xf numFmtId="173" fontId="38" fillId="24" borderId="18" xfId="0" applyNumberFormat="1" applyFont="1" applyFill="1" applyBorder="1" applyAlignment="1" applyProtection="1">
      <alignment/>
      <protection/>
    </xf>
    <xf numFmtId="2" fontId="38" fillId="24" borderId="18" xfId="0" applyNumberFormat="1" applyFont="1" applyFill="1" applyBorder="1" applyAlignment="1" applyProtection="1">
      <alignment horizontal="right" vertical="center"/>
      <protection/>
    </xf>
    <xf numFmtId="0" fontId="17" fillId="24" borderId="30" xfId="0" applyFont="1" applyFill="1" applyBorder="1" applyAlignment="1" applyProtection="1">
      <alignment horizontal="right"/>
      <protection/>
    </xf>
    <xf numFmtId="2" fontId="9" fillId="24" borderId="0" xfId="0" applyNumberFormat="1" applyFont="1" applyFill="1" applyBorder="1" applyAlignment="1" applyProtection="1">
      <alignment/>
      <protection/>
    </xf>
    <xf numFmtId="196" fontId="8" fillId="24" borderId="0" xfId="0" applyNumberFormat="1" applyFont="1" applyFill="1" applyAlignment="1">
      <alignment/>
    </xf>
    <xf numFmtId="0" fontId="23" fillId="24" borderId="0" xfId="0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196" fontId="17" fillId="24" borderId="0" xfId="0" applyNumberFormat="1" applyFont="1" applyFill="1" applyBorder="1" applyAlignment="1" applyProtection="1">
      <alignment horizontal="center"/>
      <protection/>
    </xf>
    <xf numFmtId="182" fontId="17" fillId="24" borderId="0" xfId="0" applyNumberFormat="1" applyFont="1" applyFill="1" applyBorder="1" applyAlignment="1" applyProtection="1">
      <alignment horizontal="center"/>
      <protection/>
    </xf>
    <xf numFmtId="0" fontId="23" fillId="24" borderId="19" xfId="0" applyFont="1" applyFill="1" applyBorder="1" applyAlignment="1" applyProtection="1">
      <alignment/>
      <protection/>
    </xf>
    <xf numFmtId="0" fontId="17" fillId="24" borderId="18" xfId="0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0" fontId="8" fillId="24" borderId="102" xfId="0" applyFont="1" applyFill="1" applyBorder="1" applyAlignment="1">
      <alignment/>
    </xf>
    <xf numFmtId="196" fontId="9" fillId="24" borderId="30" xfId="0" applyNumberFormat="1" applyFont="1" applyFill="1" applyBorder="1" applyAlignment="1" applyProtection="1">
      <alignment horizontal="center"/>
      <protection/>
    </xf>
    <xf numFmtId="0" fontId="8" fillId="24" borderId="102" xfId="0" applyFont="1" applyFill="1" applyBorder="1" applyAlignment="1" applyProtection="1">
      <alignment/>
      <protection/>
    </xf>
    <xf numFmtId="0" fontId="23" fillId="24" borderId="103" xfId="0" applyFont="1" applyFill="1" applyBorder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>
      <alignment/>
    </xf>
    <xf numFmtId="0" fontId="8" fillId="32" borderId="0" xfId="0" applyFont="1" applyFill="1" applyAlignment="1" applyProtection="1">
      <alignment/>
      <protection/>
    </xf>
    <xf numFmtId="0" fontId="8" fillId="32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right" vertical="center"/>
      <protection/>
    </xf>
    <xf numFmtId="174" fontId="14" fillId="24" borderId="0" xfId="0" applyNumberFormat="1" applyFont="1" applyFill="1" applyAlignment="1" applyProtection="1">
      <alignment horizontal="center" vertical="center"/>
      <protection/>
    </xf>
    <xf numFmtId="0" fontId="8" fillId="37" borderId="0" xfId="0" applyFont="1" applyFill="1" applyAlignment="1" applyProtection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 applyProtection="1">
      <alignment/>
      <protection/>
    </xf>
    <xf numFmtId="196" fontId="27" fillId="37" borderId="0" xfId="0" applyNumberFormat="1" applyFont="1" applyFill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0" fontId="17" fillId="32" borderId="0" xfId="0" applyFont="1" applyFill="1" applyBorder="1" applyAlignment="1" applyProtection="1">
      <alignment vertical="center"/>
      <protection/>
    </xf>
    <xf numFmtId="0" fontId="14" fillId="22" borderId="0" xfId="0" applyFont="1" applyFill="1" applyBorder="1" applyAlignment="1" applyProtection="1">
      <alignment horizontal="left" vertical="center"/>
      <protection/>
    </xf>
    <xf numFmtId="196" fontId="14" fillId="32" borderId="0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38" borderId="112" xfId="0" applyFill="1" applyBorder="1" applyAlignment="1">
      <alignment/>
    </xf>
    <xf numFmtId="0" fontId="0" fillId="0" borderId="0" xfId="0" applyAlignment="1">
      <alignment horizontal="left"/>
    </xf>
    <xf numFmtId="0" fontId="34" fillId="39" borderId="113" xfId="0" applyFont="1" applyFill="1" applyBorder="1" applyAlignment="1">
      <alignment vertical="top" wrapText="1"/>
    </xf>
    <xf numFmtId="0" fontId="34" fillId="39" borderId="113" xfId="0" applyFont="1" applyFill="1" applyBorder="1" applyAlignment="1">
      <alignment horizontal="center" vertical="top" wrapText="1"/>
    </xf>
    <xf numFmtId="1" fontId="34" fillId="39" borderId="113" xfId="0" applyNumberFormat="1" applyFont="1" applyFill="1" applyBorder="1" applyAlignment="1">
      <alignment horizontal="center" vertical="top" wrapText="1"/>
    </xf>
    <xf numFmtId="0" fontId="34" fillId="39" borderId="114" xfId="0" applyFont="1" applyFill="1" applyBorder="1" applyAlignment="1">
      <alignment horizontal="center" vertical="top" wrapText="1"/>
    </xf>
    <xf numFmtId="0" fontId="34" fillId="38" borderId="110" xfId="0" applyFont="1" applyFill="1" applyBorder="1" applyAlignment="1">
      <alignment/>
    </xf>
    <xf numFmtId="0" fontId="34" fillId="39" borderId="115" xfId="0" applyFont="1" applyFill="1" applyBorder="1" applyAlignment="1">
      <alignment/>
    </xf>
    <xf numFmtId="0" fontId="34" fillId="39" borderId="115" xfId="0" applyFont="1" applyFill="1" applyBorder="1" applyAlignment="1">
      <alignment/>
    </xf>
    <xf numFmtId="0" fontId="34" fillId="0" borderId="0" xfId="0" applyFont="1" applyAlignment="1">
      <alignment/>
    </xf>
    <xf numFmtId="0" fontId="34" fillId="38" borderId="110" xfId="0" applyFont="1" applyFill="1" applyBorder="1" applyAlignment="1">
      <alignment vertical="center"/>
    </xf>
    <xf numFmtId="0" fontId="41" fillId="24" borderId="0" xfId="0" applyFont="1" applyFill="1" applyAlignment="1">
      <alignment vertical="center"/>
    </xf>
    <xf numFmtId="0" fontId="34" fillId="24" borderId="0" xfId="0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0" fontId="34" fillId="40" borderId="113" xfId="0" applyFont="1" applyFill="1" applyBorder="1" applyAlignment="1">
      <alignment vertical="top" wrapText="1"/>
    </xf>
    <xf numFmtId="0" fontId="34" fillId="40" borderId="113" xfId="0" applyFont="1" applyFill="1" applyBorder="1" applyAlignment="1">
      <alignment horizontal="center" vertical="top" wrapText="1"/>
    </xf>
    <xf numFmtId="1" fontId="34" fillId="40" borderId="113" xfId="0" applyNumberFormat="1" applyFont="1" applyFill="1" applyBorder="1" applyAlignment="1">
      <alignment horizontal="center" vertical="top" wrapText="1"/>
    </xf>
    <xf numFmtId="0" fontId="34" fillId="40" borderId="114" xfId="0" applyFont="1" applyFill="1" applyBorder="1" applyAlignment="1">
      <alignment horizontal="center" vertical="top" wrapText="1"/>
    </xf>
    <xf numFmtId="0" fontId="34" fillId="40" borderId="115" xfId="0" applyFont="1" applyFill="1" applyBorder="1" applyAlignment="1">
      <alignment vertical="top" wrapText="1"/>
    </xf>
    <xf numFmtId="174" fontId="34" fillId="40" borderId="113" xfId="0" applyNumberFormat="1" applyFont="1" applyFill="1" applyBorder="1" applyAlignment="1">
      <alignment horizontal="center" vertical="top" wrapText="1"/>
    </xf>
    <xf numFmtId="1" fontId="34" fillId="40" borderId="114" xfId="0" applyNumberFormat="1" applyFont="1" applyFill="1" applyBorder="1" applyAlignment="1">
      <alignment horizontal="center" vertical="top" wrapText="1"/>
    </xf>
    <xf numFmtId="174" fontId="34" fillId="40" borderId="113" xfId="0" applyNumberFormat="1" applyFont="1" applyFill="1" applyBorder="1" applyAlignment="1">
      <alignment vertical="top" wrapText="1"/>
    </xf>
    <xf numFmtId="0" fontId="34" fillId="39" borderId="115" xfId="0" applyFont="1" applyFill="1" applyBorder="1" applyAlignment="1">
      <alignment vertical="top" wrapText="1"/>
    </xf>
    <xf numFmtId="174" fontId="34" fillId="39" borderId="113" xfId="0" applyNumberFormat="1" applyFont="1" applyFill="1" applyBorder="1" applyAlignment="1">
      <alignment horizontal="center" vertical="top" wrapText="1"/>
    </xf>
    <xf numFmtId="1" fontId="34" fillId="39" borderId="114" xfId="0" applyNumberFormat="1" applyFont="1" applyFill="1" applyBorder="1" applyAlignment="1">
      <alignment horizontal="center" vertical="top" wrapText="1"/>
    </xf>
    <xf numFmtId="174" fontId="34" fillId="39" borderId="113" xfId="0" applyNumberFormat="1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" fontId="34" fillId="0" borderId="0" xfId="0" applyNumberFormat="1" applyFont="1" applyAlignment="1">
      <alignment horizontal="center"/>
    </xf>
    <xf numFmtId="0" fontId="34" fillId="38" borderId="116" xfId="0" applyFont="1" applyFill="1" applyBorder="1" applyAlignment="1">
      <alignment/>
    </xf>
    <xf numFmtId="0" fontId="34" fillId="24" borderId="0" xfId="0" applyFont="1" applyFill="1" applyAlignment="1">
      <alignment/>
    </xf>
    <xf numFmtId="174" fontId="34" fillId="0" borderId="0" xfId="0" applyNumberFormat="1" applyFont="1" applyAlignment="1">
      <alignment horizontal="center"/>
    </xf>
    <xf numFmtId="1" fontId="34" fillId="39" borderId="113" xfId="0" applyNumberFormat="1" applyFont="1" applyFill="1" applyBorder="1" applyAlignment="1">
      <alignment horizontal="center" wrapText="1"/>
    </xf>
    <xf numFmtId="1" fontId="34" fillId="24" borderId="0" xfId="0" applyNumberFormat="1" applyFont="1" applyFill="1" applyAlignment="1">
      <alignment horizontal="center" vertical="center"/>
    </xf>
    <xf numFmtId="0" fontId="41" fillId="24" borderId="0" xfId="0" applyFont="1" applyFill="1" applyAlignment="1">
      <alignment/>
    </xf>
    <xf numFmtId="1" fontId="34" fillId="24" borderId="0" xfId="0" applyNumberFormat="1" applyFont="1" applyFill="1" applyAlignment="1">
      <alignment horizontal="center"/>
    </xf>
    <xf numFmtId="0" fontId="34" fillId="24" borderId="0" xfId="0" applyFont="1" applyFill="1" applyAlignment="1">
      <alignment horizontal="left"/>
    </xf>
    <xf numFmtId="0" fontId="20" fillId="24" borderId="0" xfId="0" applyFont="1" applyFill="1" applyAlignment="1">
      <alignment/>
    </xf>
    <xf numFmtId="0" fontId="9" fillId="24" borderId="0" xfId="0" applyFont="1" applyFill="1" applyBorder="1" applyAlignment="1" applyProtection="1">
      <alignment horizontal="right" vertical="center"/>
      <protection/>
    </xf>
    <xf numFmtId="0" fontId="0" fillId="24" borderId="0" xfId="0" applyFill="1" applyAlignment="1" applyProtection="1">
      <alignment vertical="center"/>
      <protection/>
    </xf>
    <xf numFmtId="0" fontId="42" fillId="24" borderId="0" xfId="0" applyFont="1" applyFill="1" applyAlignment="1" applyProtection="1">
      <alignment horizontal="center" vertical="center"/>
      <protection/>
    </xf>
    <xf numFmtId="0" fontId="45" fillId="24" borderId="0" xfId="0" applyFont="1" applyFill="1" applyAlignment="1" applyProtection="1">
      <alignment horizontal="right" vertical="center"/>
      <protection/>
    </xf>
    <xf numFmtId="174" fontId="7" fillId="0" borderId="34" xfId="0" applyNumberFormat="1" applyFont="1" applyBorder="1" applyAlignment="1" applyProtection="1">
      <alignment horizontal="center" vertical="center"/>
      <protection locked="0"/>
    </xf>
    <xf numFmtId="174" fontId="7" fillId="29" borderId="79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/>
    </xf>
    <xf numFmtId="1" fontId="7" fillId="27" borderId="17" xfId="0" applyNumberFormat="1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right" vertical="center"/>
    </xf>
    <xf numFmtId="0" fontId="9" fillId="24" borderId="0" xfId="0" applyFont="1" applyFill="1" applyAlignment="1" applyProtection="1">
      <alignment vertical="center"/>
      <protection/>
    </xf>
    <xf numFmtId="0" fontId="60" fillId="24" borderId="0" xfId="0" applyFont="1" applyFill="1" applyAlignment="1" applyProtection="1" quotePrefix="1">
      <alignment/>
      <protection/>
    </xf>
    <xf numFmtId="205" fontId="14" fillId="27" borderId="52" xfId="0" applyNumberFormat="1" applyFont="1" applyFill="1" applyBorder="1" applyAlignment="1" applyProtection="1">
      <alignment horizontal="center" vertical="center"/>
      <protection/>
    </xf>
    <xf numFmtId="0" fontId="14" fillId="24" borderId="0" xfId="0" applyFont="1" applyFill="1" applyAlignment="1" applyProtection="1">
      <alignment/>
      <protection/>
    </xf>
    <xf numFmtId="1" fontId="34" fillId="39" borderId="113" xfId="0" applyNumberFormat="1" applyFont="1" applyFill="1" applyBorder="1" applyAlignment="1">
      <alignment horizontal="center" vertical="center" wrapText="1"/>
    </xf>
    <xf numFmtId="174" fontId="34" fillId="39" borderId="113" xfId="0" applyNumberFormat="1" applyFont="1" applyFill="1" applyBorder="1" applyAlignment="1">
      <alignment horizontal="center" vertical="center" wrapText="1"/>
    </xf>
    <xf numFmtId="1" fontId="34" fillId="39" borderId="114" xfId="0" applyNumberFormat="1" applyFont="1" applyFill="1" applyBorder="1" applyAlignment="1">
      <alignment horizontal="center" vertical="center" wrapText="1"/>
    </xf>
    <xf numFmtId="0" fontId="34" fillId="39" borderId="113" xfId="0" applyFont="1" applyFill="1" applyBorder="1" applyAlignment="1">
      <alignment horizontal="center" vertical="center" wrapText="1"/>
    </xf>
    <xf numFmtId="0" fontId="34" fillId="39" borderId="114" xfId="0" applyFont="1" applyFill="1" applyBorder="1" applyAlignment="1">
      <alignment horizontal="center" vertical="center" wrapText="1"/>
    </xf>
    <xf numFmtId="1" fontId="34" fillId="41" borderId="113" xfId="0" applyNumberFormat="1" applyFont="1" applyFill="1" applyBorder="1" applyAlignment="1">
      <alignment horizontal="center" vertical="center" wrapText="1"/>
    </xf>
    <xf numFmtId="174" fontId="34" fillId="40" borderId="114" xfId="0" applyNumberFormat="1" applyFont="1" applyFill="1" applyBorder="1" applyAlignment="1">
      <alignment horizontal="left" vertical="top" wrapText="1"/>
    </xf>
    <xf numFmtId="174" fontId="34" fillId="39" borderId="114" xfId="0" applyNumberFormat="1" applyFont="1" applyFill="1" applyBorder="1" applyAlignment="1">
      <alignment horizontal="left" vertical="top" wrapText="1"/>
    </xf>
    <xf numFmtId="1" fontId="41" fillId="39" borderId="115" xfId="0" applyNumberFormat="1" applyFont="1" applyFill="1" applyBorder="1" applyAlignment="1">
      <alignment horizontal="center" vertical="center" wrapText="1"/>
    </xf>
    <xf numFmtId="1" fontId="59" fillId="38" borderId="113" xfId="0" applyNumberFormat="1" applyFont="1" applyFill="1" applyBorder="1" applyAlignment="1">
      <alignment horizontal="left"/>
    </xf>
    <xf numFmtId="0" fontId="34" fillId="38" borderId="110" xfId="0" applyFont="1" applyFill="1" applyBorder="1" applyAlignment="1">
      <alignment horizontal="left" vertical="center"/>
    </xf>
    <xf numFmtId="174" fontId="34" fillId="42" borderId="110" xfId="0" applyNumberFormat="1" applyFont="1" applyFill="1" applyBorder="1" applyAlignment="1">
      <alignment horizontal="left" vertical="top" wrapText="1"/>
    </xf>
    <xf numFmtId="174" fontId="34" fillId="41" borderId="110" xfId="0" applyNumberFormat="1" applyFont="1" applyFill="1" applyBorder="1" applyAlignment="1">
      <alignment horizontal="left" vertical="top" wrapText="1"/>
    </xf>
    <xf numFmtId="0" fontId="34" fillId="38" borderId="110" xfId="0" applyFont="1" applyFill="1" applyBorder="1" applyAlignment="1">
      <alignment horizontal="left"/>
    </xf>
    <xf numFmtId="174" fontId="34" fillId="41" borderId="116" xfId="0" applyNumberFormat="1" applyFont="1" applyFill="1" applyBorder="1" applyAlignment="1">
      <alignment horizontal="left" vertical="top" wrapText="1"/>
    </xf>
    <xf numFmtId="0" fontId="34" fillId="24" borderId="0" xfId="0" applyFont="1" applyFill="1" applyAlignment="1">
      <alignment horizontal="center" vertical="center"/>
    </xf>
    <xf numFmtId="174" fontId="34" fillId="40" borderId="114" xfId="0" applyNumberFormat="1" applyFont="1" applyFill="1" applyBorder="1" applyAlignment="1">
      <alignment horizontal="center" vertical="top" wrapText="1"/>
    </xf>
    <xf numFmtId="174" fontId="34" fillId="39" borderId="114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 horizontal="center"/>
    </xf>
    <xf numFmtId="0" fontId="34" fillId="0" borderId="50" xfId="0" applyFont="1" applyBorder="1" applyAlignment="1">
      <alignment vertical="center"/>
    </xf>
    <xf numFmtId="0" fontId="34" fillId="0" borderId="115" xfId="0" applyFont="1" applyBorder="1" applyAlignment="1">
      <alignment vertical="center"/>
    </xf>
    <xf numFmtId="174" fontId="31" fillId="40" borderId="114" xfId="0" applyNumberFormat="1" applyFont="1" applyFill="1" applyBorder="1" applyAlignment="1">
      <alignment horizontal="left" vertical="top" wrapText="1"/>
    </xf>
    <xf numFmtId="174" fontId="31" fillId="39" borderId="114" xfId="0" applyNumberFormat="1" applyFont="1" applyFill="1" applyBorder="1" applyAlignment="1">
      <alignment horizontal="left" vertical="top" wrapText="1"/>
    </xf>
    <xf numFmtId="0" fontId="31" fillId="24" borderId="0" xfId="0" applyFont="1" applyFill="1" applyAlignment="1">
      <alignment horizontal="left"/>
    </xf>
    <xf numFmtId="174" fontId="9" fillId="40" borderId="114" xfId="0" applyNumberFormat="1" applyFont="1" applyFill="1" applyBorder="1" applyAlignment="1">
      <alignment horizontal="left" vertical="top" wrapText="1"/>
    </xf>
    <xf numFmtId="174" fontId="9" fillId="39" borderId="114" xfId="0" applyNumberFormat="1" applyFont="1" applyFill="1" applyBorder="1" applyAlignment="1">
      <alignment horizontal="left" vertical="top" wrapText="1"/>
    </xf>
    <xf numFmtId="0" fontId="31" fillId="24" borderId="115" xfId="0" applyFont="1" applyFill="1" applyBorder="1" applyAlignment="1">
      <alignment horizontal="left"/>
    </xf>
    <xf numFmtId="174" fontId="31" fillId="40" borderId="113" xfId="0" applyNumberFormat="1" applyFont="1" applyFill="1" applyBorder="1" applyAlignment="1">
      <alignment horizontal="left" vertical="top" wrapText="1"/>
    </xf>
    <xf numFmtId="174" fontId="31" fillId="39" borderId="113" xfId="0" applyNumberFormat="1" applyFont="1" applyFill="1" applyBorder="1" applyAlignment="1">
      <alignment horizontal="left" vertical="top" wrapText="1"/>
    </xf>
    <xf numFmtId="0" fontId="31" fillId="24" borderId="18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3" fillId="24" borderId="0" xfId="0" applyFont="1" applyFill="1" applyBorder="1" applyAlignment="1" quotePrefix="1">
      <alignment horizontal="right"/>
    </xf>
    <xf numFmtId="0" fontId="5" fillId="24" borderId="19" xfId="0" applyFont="1" applyFill="1" applyBorder="1" applyAlignment="1">
      <alignment horizontal="center"/>
    </xf>
    <xf numFmtId="1" fontId="34" fillId="39" borderId="114" xfId="0" applyNumberFormat="1" applyFont="1" applyFill="1" applyBorder="1" applyAlignment="1">
      <alignment horizontal="left" vertical="center" wrapText="1"/>
    </xf>
    <xf numFmtId="196" fontId="11" fillId="27" borderId="93" xfId="0" applyNumberFormat="1" applyFont="1" applyFill="1" applyBorder="1" applyAlignment="1" applyProtection="1">
      <alignment horizontal="right" vertical="center"/>
      <protection/>
    </xf>
    <xf numFmtId="0" fontId="17" fillId="24" borderId="117" xfId="0" applyFont="1" applyFill="1" applyBorder="1" applyAlignment="1" applyProtection="1">
      <alignment horizontal="right"/>
      <protection/>
    </xf>
    <xf numFmtId="209" fontId="27" fillId="27" borderId="93" xfId="0" applyNumberFormat="1" applyFont="1" applyFill="1" applyBorder="1" applyAlignment="1" applyProtection="1">
      <alignment horizontal="center" vertical="center"/>
      <protection/>
    </xf>
    <xf numFmtId="174" fontId="37" fillId="29" borderId="118" xfId="0" applyNumberFormat="1" applyFont="1" applyFill="1" applyBorder="1" applyAlignment="1" applyProtection="1">
      <alignment horizontal="center" vertical="center"/>
      <protection/>
    </xf>
    <xf numFmtId="174" fontId="37" fillId="0" borderId="10" xfId="0" applyNumberFormat="1" applyFont="1" applyBorder="1" applyAlignment="1" applyProtection="1">
      <alignment horizontal="center" vertical="center"/>
      <protection/>
    </xf>
    <xf numFmtId="174" fontId="37" fillId="0" borderId="118" xfId="0" applyNumberFormat="1" applyFont="1" applyBorder="1" applyAlignment="1" applyProtection="1">
      <alignment horizontal="center" vertical="center"/>
      <protection/>
    </xf>
    <xf numFmtId="174" fontId="37" fillId="29" borderId="119" xfId="0" applyNumberFormat="1" applyFont="1" applyFill="1" applyBorder="1" applyAlignment="1" applyProtection="1">
      <alignment horizontal="center" vertical="center"/>
      <protection/>
    </xf>
    <xf numFmtId="174" fontId="37" fillId="30" borderId="10" xfId="0" applyNumberFormat="1" applyFont="1" applyFill="1" applyBorder="1" applyAlignment="1" applyProtection="1">
      <alignment horizontal="center" vertical="center"/>
      <protection/>
    </xf>
    <xf numFmtId="174" fontId="37" fillId="30" borderId="118" xfId="0" applyNumberFormat="1" applyFont="1" applyFill="1" applyBorder="1" applyAlignment="1" applyProtection="1">
      <alignment horizontal="center" vertical="center"/>
      <protection/>
    </xf>
    <xf numFmtId="174" fontId="37" fillId="0" borderId="14" xfId="0" applyNumberFormat="1" applyFont="1" applyFill="1" applyBorder="1" applyAlignment="1" applyProtection="1">
      <alignment horizontal="center" vertical="center"/>
      <protection/>
    </xf>
    <xf numFmtId="174" fontId="37" fillId="0" borderId="119" xfId="0" applyNumberFormat="1" applyFont="1" applyFill="1" applyBorder="1" applyAlignment="1" applyProtection="1">
      <alignment horizontal="center" vertical="center"/>
      <protection/>
    </xf>
    <xf numFmtId="174" fontId="37" fillId="30" borderId="14" xfId="0" applyNumberFormat="1" applyFont="1" applyFill="1" applyBorder="1" applyAlignment="1" applyProtection="1">
      <alignment horizontal="center" vertical="center"/>
      <protection/>
    </xf>
    <xf numFmtId="174" fontId="37" fillId="30" borderId="119" xfId="0" applyNumberFormat="1" applyFont="1" applyFill="1" applyBorder="1" applyAlignment="1" applyProtection="1">
      <alignment horizontal="center" vertical="center"/>
      <protection/>
    </xf>
    <xf numFmtId="213" fontId="11" fillId="27" borderId="120" xfId="0" applyNumberFormat="1" applyFont="1" applyFill="1" applyBorder="1" applyAlignment="1" applyProtection="1">
      <alignment horizontal="center" vertical="center"/>
      <protection/>
    </xf>
    <xf numFmtId="213" fontId="14" fillId="27" borderId="120" xfId="0" applyNumberFormat="1" applyFont="1" applyFill="1" applyBorder="1" applyAlignment="1" applyProtection="1">
      <alignment horizontal="center" vertical="center"/>
      <protection/>
    </xf>
    <xf numFmtId="174" fontId="38" fillId="24" borderId="0" xfId="0" applyNumberFormat="1" applyFont="1" applyFill="1" applyBorder="1" applyAlignment="1" applyProtection="1">
      <alignment/>
      <protection/>
    </xf>
    <xf numFmtId="174" fontId="38" fillId="24" borderId="0" xfId="0" applyNumberFormat="1" applyFont="1" applyFill="1" applyBorder="1" applyAlignment="1" applyProtection="1">
      <alignment horizontal="center" vertical="center"/>
      <protection/>
    </xf>
    <xf numFmtId="205" fontId="26" fillId="27" borderId="25" xfId="0" applyNumberFormat="1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right"/>
      <protection/>
    </xf>
    <xf numFmtId="217" fontId="26" fillId="24" borderId="0" xfId="0" applyNumberFormat="1" applyFont="1" applyFill="1" applyAlignment="1" applyProtection="1">
      <alignment horizontal="center"/>
      <protection/>
    </xf>
    <xf numFmtId="174" fontId="38" fillId="24" borderId="121" xfId="0" applyNumberFormat="1" applyFont="1" applyFill="1" applyBorder="1" applyAlignment="1">
      <alignment horizontal="center" vertical="center"/>
    </xf>
    <xf numFmtId="196" fontId="3" fillId="0" borderId="71" xfId="0" applyNumberFormat="1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Alignment="1">
      <alignment/>
    </xf>
    <xf numFmtId="190" fontId="20" fillId="27" borderId="122" xfId="0" applyNumberFormat="1" applyFont="1" applyFill="1" applyBorder="1" applyAlignment="1" applyProtection="1">
      <alignment horizontal="center" vertical="center"/>
      <protection/>
    </xf>
    <xf numFmtId="0" fontId="8" fillId="24" borderId="122" xfId="0" applyFont="1" applyFill="1" applyBorder="1" applyAlignment="1">
      <alignment horizontal="left"/>
    </xf>
    <xf numFmtId="0" fontId="31" fillId="24" borderId="122" xfId="0" applyFont="1" applyFill="1" applyBorder="1" applyAlignment="1">
      <alignment horizontal="right"/>
    </xf>
    <xf numFmtId="0" fontId="31" fillId="24" borderId="122" xfId="0" applyFont="1" applyFill="1" applyBorder="1" applyAlignment="1" applyProtection="1">
      <alignment/>
      <protection locked="0"/>
    </xf>
    <xf numFmtId="0" fontId="8" fillId="24" borderId="122" xfId="0" applyFont="1" applyFill="1" applyBorder="1" applyAlignment="1" applyProtection="1">
      <alignment/>
      <protection locked="0"/>
    </xf>
    <xf numFmtId="0" fontId="8" fillId="24" borderId="115" xfId="0" applyFont="1" applyFill="1" applyBorder="1" applyAlignment="1" applyProtection="1">
      <alignment/>
      <protection locked="0"/>
    </xf>
    <xf numFmtId="218" fontId="17" fillId="24" borderId="0" xfId="0" applyNumberFormat="1" applyFont="1" applyFill="1" applyBorder="1" applyAlignment="1" applyProtection="1">
      <alignment/>
      <protection/>
    </xf>
    <xf numFmtId="180" fontId="63" fillId="27" borderId="62" xfId="0" applyNumberFormat="1" applyFont="1" applyFill="1" applyBorder="1" applyAlignment="1" applyProtection="1">
      <alignment horizontal="center" vertical="center"/>
      <protection/>
    </xf>
    <xf numFmtId="219" fontId="8" fillId="24" borderId="0" xfId="0" applyNumberFormat="1" applyFont="1" applyFill="1" applyAlignment="1">
      <alignment/>
    </xf>
    <xf numFmtId="0" fontId="8" fillId="24" borderId="123" xfId="0" applyFont="1" applyFill="1" applyBorder="1" applyAlignment="1">
      <alignment/>
    </xf>
    <xf numFmtId="209" fontId="7" fillId="27" borderId="43" xfId="0" applyNumberFormat="1" applyFont="1" applyFill="1" applyBorder="1" applyAlignment="1" applyProtection="1" quotePrefix="1">
      <alignment horizontal="center" vertical="center"/>
      <protection locked="0"/>
    </xf>
    <xf numFmtId="0" fontId="9" fillId="24" borderId="30" xfId="0" applyFont="1" applyFill="1" applyBorder="1" applyAlignment="1">
      <alignment horizontal="right"/>
    </xf>
    <xf numFmtId="0" fontId="3" fillId="24" borderId="0" xfId="0" applyFont="1" applyFill="1" applyAlignment="1" applyProtection="1">
      <alignment/>
      <protection/>
    </xf>
    <xf numFmtId="0" fontId="9" fillId="24" borderId="0" xfId="0" applyFont="1" applyFill="1" applyAlignment="1" quotePrefix="1">
      <alignment/>
    </xf>
    <xf numFmtId="49" fontId="65" fillId="24" borderId="19" xfId="0" applyNumberFormat="1" applyFont="1" applyFill="1" applyBorder="1" applyAlignment="1" applyProtection="1">
      <alignment horizontal="right" vertical="center"/>
      <protection/>
    </xf>
    <xf numFmtId="0" fontId="17" fillId="24" borderId="0" xfId="0" applyFont="1" applyFill="1" applyAlignment="1" applyProtection="1">
      <alignment horizontal="left"/>
      <protection locked="0"/>
    </xf>
    <xf numFmtId="174" fontId="38" fillId="24" borderId="30" xfId="0" applyNumberFormat="1" applyFont="1" applyFill="1" applyBorder="1" applyAlignment="1">
      <alignment horizontal="right"/>
    </xf>
    <xf numFmtId="1" fontId="20" fillId="27" borderId="49" xfId="0" applyNumberFormat="1" applyFont="1" applyFill="1" applyBorder="1" applyAlignment="1" applyProtection="1">
      <alignment horizontal="center" vertical="center"/>
      <protection/>
    </xf>
    <xf numFmtId="0" fontId="11" fillId="24" borderId="0" xfId="0" applyFont="1" applyFill="1" applyAlignment="1" applyProtection="1">
      <alignment/>
      <protection/>
    </xf>
    <xf numFmtId="0" fontId="17" fillId="24" borderId="0" xfId="0" applyFont="1" applyFill="1" applyAlignment="1" applyProtection="1">
      <alignment horizontal="left"/>
      <protection/>
    </xf>
    <xf numFmtId="182" fontId="7" fillId="27" borderId="124" xfId="0" applyNumberFormat="1" applyFont="1" applyFill="1" applyBorder="1" applyAlignment="1" applyProtection="1" quotePrefix="1">
      <alignment horizontal="center" vertical="center"/>
      <protection/>
    </xf>
    <xf numFmtId="0" fontId="38" fillId="24" borderId="0" xfId="0" applyFont="1" applyFill="1" applyAlignment="1" applyProtection="1">
      <alignment/>
      <protection/>
    </xf>
    <xf numFmtId="0" fontId="42" fillId="24" borderId="125" xfId="0" applyFont="1" applyFill="1" applyBorder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vertical="center"/>
      <protection/>
    </xf>
    <xf numFmtId="174" fontId="27" fillId="32" borderId="0" xfId="0" applyNumberFormat="1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196" fontId="27" fillId="32" borderId="0" xfId="0" applyNumberFormat="1" applyFont="1" applyFill="1" applyAlignment="1" applyProtection="1">
      <alignment horizontal="center" vertical="center"/>
      <protection/>
    </xf>
    <xf numFmtId="0" fontId="8" fillId="24" borderId="0" xfId="0" applyFont="1" applyFill="1" applyAlignment="1" quotePrefix="1">
      <alignment/>
    </xf>
    <xf numFmtId="0" fontId="4" fillId="24" borderId="0" xfId="0" applyFont="1" applyFill="1" applyAlignment="1" applyProtection="1" quotePrefix="1">
      <alignment horizontal="left"/>
      <protection locked="0"/>
    </xf>
    <xf numFmtId="0" fontId="0" fillId="24" borderId="0" xfId="0" applyFill="1" applyAlignment="1" quotePrefix="1">
      <alignment/>
    </xf>
    <xf numFmtId="174" fontId="28" fillId="29" borderId="11" xfId="0" applyNumberFormat="1" applyFont="1" applyFill="1" applyBorder="1" applyAlignment="1" applyProtection="1">
      <alignment horizontal="center" vertical="center"/>
      <protection/>
    </xf>
    <xf numFmtId="174" fontId="28" fillId="0" borderId="11" xfId="0" applyNumberFormat="1" applyFont="1" applyFill="1" applyBorder="1" applyAlignment="1" applyProtection="1">
      <alignment horizontal="center" vertical="center"/>
      <protection/>
    </xf>
    <xf numFmtId="174" fontId="28" fillId="0" borderId="11" xfId="0" applyNumberFormat="1" applyFont="1" applyBorder="1" applyAlignment="1" applyProtection="1">
      <alignment horizontal="center" vertical="center"/>
      <protection/>
    </xf>
    <xf numFmtId="174" fontId="28" fillId="29" borderId="16" xfId="0" applyNumberFormat="1" applyFont="1" applyFill="1" applyBorder="1" applyAlignment="1" applyProtection="1">
      <alignment horizontal="center" vertical="center"/>
      <protection/>
    </xf>
    <xf numFmtId="4" fontId="3" fillId="29" borderId="126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29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27" xfId="0" applyNumberFormat="1" applyFont="1" applyBorder="1" applyAlignment="1" applyProtection="1">
      <alignment horizontal="center" vertical="center"/>
      <protection locked="0"/>
    </xf>
    <xf numFmtId="4" fontId="3" fillId="29" borderId="128" xfId="0" applyNumberFormat="1" applyFont="1" applyFill="1" applyBorder="1" applyAlignment="1" applyProtection="1">
      <alignment horizontal="center" vertical="center"/>
      <protection locked="0"/>
    </xf>
    <xf numFmtId="222" fontId="8" fillId="24" borderId="0" xfId="0" applyNumberFormat="1" applyFont="1" applyFill="1" applyAlignment="1">
      <alignment/>
    </xf>
    <xf numFmtId="173" fontId="26" fillId="27" borderId="129" xfId="0" applyNumberFormat="1" applyFont="1" applyFill="1" applyBorder="1" applyAlignment="1" applyProtection="1">
      <alignment horizontal="right" vertical="center"/>
      <protection/>
    </xf>
    <xf numFmtId="10" fontId="17" fillId="24" borderId="0" xfId="0" applyNumberFormat="1" applyFont="1" applyFill="1" applyAlignment="1" applyProtection="1">
      <alignment horizontal="left"/>
      <protection locked="0"/>
    </xf>
    <xf numFmtId="173" fontId="17" fillId="24" borderId="0" xfId="0" applyNumberFormat="1" applyFont="1" applyFill="1" applyAlignment="1" applyProtection="1">
      <alignment horizontal="left"/>
      <protection locked="0"/>
    </xf>
    <xf numFmtId="173" fontId="29" fillId="0" borderId="130" xfId="0" applyNumberFormat="1" applyFont="1" applyBorder="1" applyAlignment="1">
      <alignment horizontal="left" vertical="center"/>
    </xf>
    <xf numFmtId="173" fontId="20" fillId="27" borderId="131" xfId="55" applyNumberFormat="1" applyFont="1" applyFill="1" applyBorder="1" applyAlignment="1" applyProtection="1">
      <alignment horizontal="center" vertical="center"/>
      <protection/>
    </xf>
    <xf numFmtId="0" fontId="52" fillId="24" borderId="0" xfId="0" applyFont="1" applyFill="1" applyAlignment="1" applyProtection="1">
      <alignment horizontal="left"/>
      <protection locked="0"/>
    </xf>
    <xf numFmtId="0" fontId="86" fillId="27" borderId="19" xfId="0" applyNumberFormat="1" applyFont="1" applyFill="1" applyBorder="1" applyAlignment="1" applyProtection="1">
      <alignment horizontal="right" vertical="center"/>
      <protection/>
    </xf>
    <xf numFmtId="0" fontId="86" fillId="27" borderId="132" xfId="0" applyNumberFormat="1" applyFont="1" applyFill="1" applyBorder="1" applyAlignment="1" applyProtection="1">
      <alignment horizontal="right" vertical="center"/>
      <protection/>
    </xf>
    <xf numFmtId="0" fontId="11" fillId="24" borderId="132" xfId="0" applyNumberFormat="1" applyFont="1" applyFill="1" applyBorder="1" applyAlignment="1" applyProtection="1">
      <alignment horizontal="right" vertical="center"/>
      <protection/>
    </xf>
    <xf numFmtId="0" fontId="20" fillId="24" borderId="133" xfId="0" applyNumberFormat="1" applyFont="1" applyFill="1" applyBorder="1" applyAlignment="1" applyProtection="1">
      <alignment horizontal="right" vertical="center"/>
      <protection/>
    </xf>
    <xf numFmtId="173" fontId="11" fillId="27" borderId="134" xfId="0" applyNumberFormat="1" applyFont="1" applyFill="1" applyBorder="1" applyAlignment="1" applyProtection="1">
      <alignment horizontal="right" vertical="center"/>
      <protection/>
    </xf>
    <xf numFmtId="0" fontId="20" fillId="24" borderId="0" xfId="0" applyFont="1" applyFill="1" applyAlignment="1" applyProtection="1">
      <alignment horizontal="left"/>
      <protection locked="0"/>
    </xf>
    <xf numFmtId="49" fontId="3" fillId="27" borderId="135" xfId="0" applyNumberFormat="1" applyFont="1" applyFill="1" applyBorder="1" applyAlignment="1" applyProtection="1">
      <alignment horizontal="center" vertical="center"/>
      <protection locked="0"/>
    </xf>
    <xf numFmtId="0" fontId="0" fillId="0" borderId="136" xfId="0" applyFont="1" applyBorder="1" applyAlignment="1" applyProtection="1">
      <alignment horizontal="center" vertical="center"/>
      <protection locked="0"/>
    </xf>
    <xf numFmtId="49" fontId="7" fillId="27" borderId="135" xfId="0" applyNumberFormat="1" applyFont="1" applyFill="1" applyBorder="1" applyAlignment="1" applyProtection="1">
      <alignment horizontal="left" vertical="center"/>
      <protection locked="0"/>
    </xf>
    <xf numFmtId="0" fontId="34" fillId="0" borderId="136" xfId="0" applyFont="1" applyBorder="1" applyAlignment="1" applyProtection="1">
      <alignment horizontal="left" vertical="center"/>
      <protection locked="0"/>
    </xf>
    <xf numFmtId="183" fontId="20" fillId="27" borderId="134" xfId="0" applyNumberFormat="1" applyFont="1" applyFill="1" applyBorder="1" applyAlignment="1" applyProtection="1">
      <alignment horizontal="right" vertical="center"/>
      <protection/>
    </xf>
    <xf numFmtId="0" fontId="39" fillId="0" borderId="130" xfId="0" applyFont="1" applyBorder="1" applyAlignment="1" applyProtection="1">
      <alignment horizontal="right"/>
      <protection/>
    </xf>
    <xf numFmtId="186" fontId="20" fillId="27" borderId="134" xfId="0" applyNumberFormat="1" applyFont="1" applyFill="1" applyBorder="1" applyAlignment="1" applyProtection="1">
      <alignment horizontal="center" vertical="center"/>
      <protection/>
    </xf>
    <xf numFmtId="186" fontId="39" fillId="0" borderId="137" xfId="0" applyNumberFormat="1" applyFont="1" applyBorder="1" applyAlignment="1" applyProtection="1">
      <alignment/>
      <protection/>
    </xf>
    <xf numFmtId="0" fontId="7" fillId="0" borderId="138" xfId="0" applyFont="1" applyBorder="1" applyAlignment="1" applyProtection="1">
      <alignment horizontal="left" vertical="center"/>
      <protection locked="0"/>
    </xf>
    <xf numFmtId="0" fontId="49" fillId="0" borderId="22" xfId="0" applyFont="1" applyBorder="1" applyAlignment="1" applyProtection="1">
      <alignment horizontal="left"/>
      <protection locked="0"/>
    </xf>
    <xf numFmtId="15" fontId="7" fillId="27" borderId="135" xfId="0" applyNumberFormat="1" applyFont="1" applyFill="1" applyBorder="1" applyAlignment="1" applyProtection="1">
      <alignment horizontal="center" vertical="center"/>
      <protection locked="0"/>
    </xf>
    <xf numFmtId="0" fontId="34" fillId="0" borderId="136" xfId="0" applyFont="1" applyBorder="1" applyAlignment="1" applyProtection="1">
      <alignment/>
      <protection locked="0"/>
    </xf>
    <xf numFmtId="0" fontId="57" fillId="2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" fontId="14" fillId="27" borderId="139" xfId="0" applyNumberFormat="1" applyFont="1" applyFill="1" applyBorder="1" applyAlignment="1" applyProtection="1">
      <alignment horizontal="center" vertical="center"/>
      <protection/>
    </xf>
    <xf numFmtId="0" fontId="55" fillId="27" borderId="140" xfId="0" applyFont="1" applyFill="1" applyBorder="1" applyAlignment="1" applyProtection="1">
      <alignment/>
      <protection/>
    </xf>
    <xf numFmtId="0" fontId="9" fillId="0" borderId="1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7" fillId="29" borderId="138" xfId="0" applyFont="1" applyFill="1" applyBorder="1" applyAlignment="1" applyProtection="1">
      <alignment horizontal="left" vertical="center"/>
      <protection locked="0"/>
    </xf>
    <xf numFmtId="0" fontId="1" fillId="27" borderId="142" xfId="0" applyNumberFormat="1" applyFont="1" applyFill="1" applyBorder="1" applyAlignment="1" applyProtection="1">
      <alignment horizontal="center" vertical="center"/>
      <protection locked="0"/>
    </xf>
    <xf numFmtId="0" fontId="1" fillId="27" borderId="143" xfId="0" applyNumberFormat="1" applyFont="1" applyFill="1" applyBorder="1" applyAlignment="1" applyProtection="1">
      <alignment horizontal="center" vertical="center"/>
      <protection locked="0"/>
    </xf>
    <xf numFmtId="0" fontId="7" fillId="27" borderId="142" xfId="0" applyNumberFormat="1" applyFont="1" applyFill="1" applyBorder="1" applyAlignment="1" applyProtection="1">
      <alignment horizontal="center" vertical="center"/>
      <protection locked="0"/>
    </xf>
    <xf numFmtId="0" fontId="34" fillId="0" borderId="143" xfId="0" applyFont="1" applyBorder="1" applyAlignment="1">
      <alignment/>
    </xf>
    <xf numFmtId="0" fontId="66" fillId="43" borderId="144" xfId="0" applyFont="1" applyFill="1" applyBorder="1" applyAlignment="1" applyProtection="1">
      <alignment horizontal="left" vertical="center" wrapText="1"/>
      <protection/>
    </xf>
    <xf numFmtId="0" fontId="0" fillId="0" borderId="145" xfId="0" applyFont="1" applyBorder="1" applyAlignment="1">
      <alignment wrapText="1"/>
    </xf>
    <xf numFmtId="0" fontId="0" fillId="0" borderId="146" xfId="0" applyFont="1" applyBorder="1" applyAlignment="1">
      <alignment wrapText="1"/>
    </xf>
    <xf numFmtId="0" fontId="0" fillId="0" borderId="147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48" xfId="0" applyFont="1" applyBorder="1" applyAlignment="1">
      <alignment wrapText="1"/>
    </xf>
    <xf numFmtId="0" fontId="18" fillId="43" borderId="149" xfId="0" applyNumberFormat="1" applyFont="1" applyFill="1" applyBorder="1" applyAlignment="1" applyProtection="1">
      <alignment horizontal="center" vertical="center" wrapText="1"/>
      <protection/>
    </xf>
    <xf numFmtId="0" fontId="41" fillId="43" borderId="150" xfId="0" applyFont="1" applyFill="1" applyBorder="1" applyAlignment="1">
      <alignment horizontal="center" vertical="center" wrapText="1"/>
    </xf>
    <xf numFmtId="0" fontId="31" fillId="43" borderId="110" xfId="0" applyFont="1" applyFill="1" applyBorder="1" applyAlignment="1" applyProtection="1">
      <alignment horizontal="center" vertical="center" wrapText="1"/>
      <protection/>
    </xf>
    <xf numFmtId="0" fontId="0" fillId="43" borderId="116" xfId="0" applyFill="1" applyBorder="1" applyAlignment="1">
      <alignment wrapText="1"/>
    </xf>
    <xf numFmtId="15" fontId="19" fillId="27" borderId="142" xfId="0" applyNumberFormat="1" applyFont="1" applyFill="1" applyBorder="1" applyAlignment="1" applyProtection="1">
      <alignment horizontal="center" vertical="center"/>
      <protection locked="0"/>
    </xf>
    <xf numFmtId="15" fontId="19" fillId="27" borderId="143" xfId="0" applyNumberFormat="1" applyFont="1" applyFill="1" applyBorder="1" applyAlignment="1" applyProtection="1">
      <alignment horizontal="center" vertical="center"/>
      <protection locked="0"/>
    </xf>
    <xf numFmtId="15" fontId="19" fillId="27" borderId="151" xfId="0" applyNumberFormat="1" applyFont="1" applyFill="1" applyBorder="1" applyAlignment="1" applyProtection="1">
      <alignment horizontal="center" vertical="center"/>
      <protection locked="0"/>
    </xf>
    <xf numFmtId="15" fontId="19" fillId="27" borderId="152" xfId="0" applyNumberFormat="1" applyFont="1" applyFill="1" applyBorder="1" applyAlignment="1" applyProtection="1">
      <alignment horizontal="center" vertical="center"/>
      <protection locked="0"/>
    </xf>
    <xf numFmtId="49" fontId="7" fillId="27" borderId="153" xfId="0" applyNumberFormat="1" applyFont="1" applyFill="1" applyBorder="1" applyAlignment="1" applyProtection="1">
      <alignment horizontal="center" vertical="center"/>
      <protection locked="0"/>
    </xf>
    <xf numFmtId="0" fontId="34" fillId="0" borderId="55" xfId="0" applyFont="1" applyBorder="1" applyAlignment="1">
      <alignment horizontal="center" vertical="center"/>
    </xf>
    <xf numFmtId="0" fontId="18" fillId="24" borderId="15" xfId="0" applyFont="1" applyFill="1" applyBorder="1" applyAlignment="1">
      <alignment/>
    </xf>
    <xf numFmtId="0" fontId="52" fillId="35" borderId="0" xfId="0" applyFont="1" applyFill="1" applyBorder="1" applyAlignment="1">
      <alignment horizontal="center"/>
    </xf>
    <xf numFmtId="0" fontId="52" fillId="35" borderId="101" xfId="0" applyFont="1" applyFill="1" applyBorder="1" applyAlignment="1">
      <alignment horizontal="center"/>
    </xf>
    <xf numFmtId="0" fontId="9" fillId="24" borderId="49" xfId="0" applyFont="1" applyFill="1" applyBorder="1" applyAlignment="1" applyProtection="1">
      <alignment horizontal="center"/>
      <protection/>
    </xf>
    <xf numFmtId="0" fontId="7" fillId="29" borderId="154" xfId="0" applyFont="1" applyFill="1" applyBorder="1" applyAlignment="1" applyProtection="1">
      <alignment horizontal="left" vertical="center"/>
      <protection locked="0"/>
    </xf>
    <xf numFmtId="0" fontId="49" fillId="0" borderId="21" xfId="0" applyFont="1" applyBorder="1" applyAlignment="1" applyProtection="1">
      <alignment horizontal="left"/>
      <protection locked="0"/>
    </xf>
    <xf numFmtId="183" fontId="38" fillId="24" borderId="0" xfId="0" applyNumberFormat="1" applyFont="1" applyFill="1" applyAlignment="1" applyProtection="1" quotePrefix="1">
      <alignment vertical="center"/>
      <protection/>
    </xf>
    <xf numFmtId="0" fontId="0" fillId="0" borderId="0" xfId="0" applyAlignment="1" applyProtection="1">
      <alignment/>
      <protection/>
    </xf>
    <xf numFmtId="0" fontId="20" fillId="43" borderId="47" xfId="0" applyFont="1" applyFill="1" applyBorder="1" applyAlignment="1" applyProtection="1">
      <alignment horizontal="left" vertical="center" wrapText="1"/>
      <protection/>
    </xf>
    <xf numFmtId="0" fontId="0" fillId="43" borderId="49" xfId="0" applyFont="1" applyFill="1" applyBorder="1" applyAlignment="1">
      <alignment wrapText="1"/>
    </xf>
    <xf numFmtId="0" fontId="0" fillId="43" borderId="50" xfId="0" applyFont="1" applyFill="1" applyBorder="1" applyAlignment="1">
      <alignment wrapText="1"/>
    </xf>
    <xf numFmtId="0" fontId="0" fillId="43" borderId="19" xfId="0" applyFont="1" applyFill="1" applyBorder="1" applyAlignment="1">
      <alignment wrapText="1"/>
    </xf>
    <xf numFmtId="0" fontId="0" fillId="43" borderId="0" xfId="0" applyFont="1" applyFill="1" applyBorder="1" applyAlignment="1">
      <alignment wrapText="1"/>
    </xf>
    <xf numFmtId="0" fontId="0" fillId="43" borderId="18" xfId="0" applyFont="1" applyFill="1" applyBorder="1" applyAlignment="1">
      <alignment wrapText="1"/>
    </xf>
    <xf numFmtId="0" fontId="31" fillId="43" borderId="19" xfId="0" applyFont="1" applyFill="1" applyBorder="1" applyAlignment="1" applyProtection="1">
      <alignment horizontal="left" vertical="center" wrapText="1"/>
      <protection/>
    </xf>
    <xf numFmtId="0" fontId="0" fillId="43" borderId="102" xfId="0" applyFill="1" applyBorder="1" applyAlignment="1">
      <alignment horizontal="left" vertical="center" wrapText="1"/>
    </xf>
    <xf numFmtId="0" fontId="8" fillId="43" borderId="155" xfId="0" applyFont="1" applyFill="1" applyBorder="1" applyAlignment="1">
      <alignment/>
    </xf>
    <xf numFmtId="0" fontId="0" fillId="43" borderId="156" xfId="0" applyFill="1" applyBorder="1" applyAlignment="1">
      <alignment/>
    </xf>
    <xf numFmtId="0" fontId="8" fillId="43" borderId="112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18" fillId="43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10" xfId="0" applyBorder="1" applyAlignment="1">
      <alignment wrapText="1"/>
    </xf>
    <xf numFmtId="0" fontId="0" fillId="0" borderId="116" xfId="0" applyBorder="1" applyAlignment="1">
      <alignment wrapText="1"/>
    </xf>
    <xf numFmtId="0" fontId="31" fillId="43" borderId="112" xfId="0" applyFont="1" applyFill="1" applyBorder="1" applyAlignment="1" applyProtection="1">
      <alignment horizontal="center" vertical="center" wrapText="1"/>
      <protection/>
    </xf>
    <xf numFmtId="0" fontId="31" fillId="43" borderId="112" xfId="0" applyFont="1" applyFill="1" applyBorder="1" applyAlignment="1" applyProtection="1">
      <alignment horizontal="left" vertical="center" wrapText="1"/>
      <protection/>
    </xf>
    <xf numFmtId="1" fontId="59" fillId="0" borderId="102" xfId="0" applyNumberFormat="1" applyFont="1" applyBorder="1" applyAlignment="1">
      <alignment vertical="top" wrapText="1"/>
    </xf>
    <xf numFmtId="1" fontId="59" fillId="0" borderId="30" xfId="0" applyNumberFormat="1" applyFont="1" applyBorder="1" applyAlignment="1">
      <alignment vertical="top" wrapText="1"/>
    </xf>
    <xf numFmtId="1" fontId="59" fillId="0" borderId="102" xfId="0" applyNumberFormat="1" applyFont="1" applyBorder="1" applyAlignment="1">
      <alignment horizontal="left" vertical="top" wrapText="1"/>
    </xf>
    <xf numFmtId="1" fontId="59" fillId="0" borderId="30" xfId="0" applyNumberFormat="1" applyFont="1" applyBorder="1" applyAlignment="1">
      <alignment horizontal="left"/>
    </xf>
    <xf numFmtId="1" fontId="59" fillId="0" borderId="103" xfId="0" applyNumberFormat="1" applyFont="1" applyBorder="1" applyAlignment="1">
      <alignment horizontal="left"/>
    </xf>
    <xf numFmtId="1" fontId="59" fillId="0" borderId="30" xfId="0" applyNumberFormat="1" applyFont="1" applyBorder="1" applyAlignment="1">
      <alignment horizontal="left" vertical="top" wrapText="1"/>
    </xf>
    <xf numFmtId="0" fontId="41" fillId="44" borderId="122" xfId="0" applyFont="1" applyFill="1" applyBorder="1" applyAlignment="1">
      <alignment horizontal="center" vertical="top" wrapText="1"/>
    </xf>
    <xf numFmtId="0" fontId="41" fillId="0" borderId="114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1" fillId="0" borderId="114" xfId="0" applyFont="1" applyBorder="1" applyAlignment="1">
      <alignment horizontal="center" vertical="center" wrapText="1"/>
    </xf>
    <xf numFmtId="0" fontId="41" fillId="0" borderId="122" xfId="0" applyFont="1" applyBorder="1" applyAlignment="1">
      <alignment horizontal="center" vertical="center" wrapText="1"/>
    </xf>
    <xf numFmtId="0" fontId="41" fillId="45" borderId="114" xfId="0" applyFont="1" applyFill="1" applyBorder="1" applyAlignment="1">
      <alignment horizontal="center" vertical="center" wrapText="1"/>
    </xf>
    <xf numFmtId="0" fontId="41" fillId="45" borderId="122" xfId="0" applyFont="1" applyFill="1" applyBorder="1" applyAlignment="1">
      <alignment horizontal="center" vertical="center" wrapText="1"/>
    </xf>
    <xf numFmtId="0" fontId="41" fillId="44" borderId="114" xfId="0" applyFont="1" applyFill="1" applyBorder="1" applyAlignment="1">
      <alignment horizontal="center" vertical="center" wrapText="1"/>
    </xf>
    <xf numFmtId="0" fontId="41" fillId="44" borderId="122" xfId="0" applyFont="1" applyFill="1" applyBorder="1" applyAlignment="1">
      <alignment horizontal="center" vertical="center" wrapText="1"/>
    </xf>
    <xf numFmtId="0" fontId="41" fillId="44" borderId="115" xfId="0" applyFont="1" applyFill="1" applyBorder="1" applyAlignment="1">
      <alignment horizontal="center" vertical="center" wrapText="1"/>
    </xf>
    <xf numFmtId="210" fontId="27" fillId="27" borderId="123" xfId="0" applyNumberFormat="1" applyFont="1" applyFill="1" applyBorder="1" applyAlignment="1" applyProtection="1">
      <alignment horizontal="center" vertical="center"/>
      <protection/>
    </xf>
    <xf numFmtId="0" fontId="0" fillId="0" borderId="117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04"/>
  <sheetViews>
    <sheetView tabSelected="1" zoomScale="120" zoomScaleNormal="120" zoomScalePageLayoutView="0" workbookViewId="0" topLeftCell="A1">
      <selection activeCell="W8" sqref="W8"/>
    </sheetView>
  </sheetViews>
  <sheetFormatPr defaultColWidth="9.140625" defaultRowHeight="12.75"/>
  <cols>
    <col min="1" max="1" width="19.140625" style="1" customWidth="1"/>
    <col min="2" max="2" width="6.8515625" style="1" customWidth="1"/>
    <col min="3" max="3" width="7.28125" style="1" customWidth="1"/>
    <col min="4" max="4" width="7.7109375" style="1" customWidth="1"/>
    <col min="5" max="5" width="5.8515625" style="1" customWidth="1"/>
    <col min="6" max="6" width="5.57421875" style="1" customWidth="1"/>
    <col min="7" max="7" width="4.7109375" style="1" customWidth="1"/>
    <col min="8" max="8" width="5.00390625" style="1" customWidth="1"/>
    <col min="9" max="9" width="1.57421875" style="1" customWidth="1"/>
    <col min="10" max="10" width="8.140625" style="1" customWidth="1"/>
    <col min="11" max="11" width="5.140625" style="1" customWidth="1"/>
    <col min="12" max="12" width="6.421875" style="1" customWidth="1"/>
    <col min="13" max="13" width="6.28125" style="1" customWidth="1"/>
    <col min="14" max="14" width="0.71875" style="1" customWidth="1"/>
    <col min="15" max="15" width="1.28515625" style="1" hidden="1" customWidth="1"/>
    <col min="16" max="16" width="17.421875" style="1" hidden="1" customWidth="1"/>
    <col min="17" max="17" width="6.57421875" style="1" hidden="1" customWidth="1"/>
    <col min="18" max="18" width="5.7109375" style="1" hidden="1" customWidth="1"/>
    <col min="19" max="19" width="7.140625" style="1" hidden="1" customWidth="1"/>
    <col min="20" max="20" width="24.8515625" style="1" hidden="1" customWidth="1"/>
    <col min="21" max="16384" width="9.140625" style="1" customWidth="1"/>
  </cols>
  <sheetData>
    <row r="1" spans="1:15" ht="13.5" customHeight="1" thickBot="1">
      <c r="A1" s="561" t="s">
        <v>676</v>
      </c>
      <c r="B1" s="562"/>
      <c r="C1" s="133" t="s">
        <v>0</v>
      </c>
      <c r="E1" s="501" t="s">
        <v>599</v>
      </c>
      <c r="F1" s="563" t="s">
        <v>636</v>
      </c>
      <c r="G1" s="564"/>
      <c r="H1" s="503">
        <f>IF(Beslag="DUN",0,IF(Beslag="MEDIUM",0.8,1.3))</f>
        <v>0.8</v>
      </c>
      <c r="I1" s="3"/>
      <c r="J1" s="136"/>
      <c r="K1" s="2" t="s">
        <v>1</v>
      </c>
      <c r="L1" s="575"/>
      <c r="M1" s="576"/>
      <c r="N1" s="3"/>
      <c r="O1" s="3"/>
    </row>
    <row r="2" spans="1:20" ht="12.75" customHeight="1" thickTop="1">
      <c r="A2" s="561" t="s">
        <v>677</v>
      </c>
      <c r="B2" s="562"/>
      <c r="C2" s="133" t="s">
        <v>628</v>
      </c>
      <c r="D2" s="581" t="s">
        <v>665</v>
      </c>
      <c r="E2" s="581"/>
      <c r="F2" s="134"/>
      <c r="G2" s="135" t="s">
        <v>5</v>
      </c>
      <c r="H2" s="94">
        <v>0.78</v>
      </c>
      <c r="I2" s="3"/>
      <c r="J2" s="136"/>
      <c r="K2" s="2" t="s">
        <v>2</v>
      </c>
      <c r="L2" s="577"/>
      <c r="M2" s="578"/>
      <c r="N2" s="3"/>
      <c r="O2" s="3"/>
      <c r="P2" s="565" t="s">
        <v>604</v>
      </c>
      <c r="Q2" s="566"/>
      <c r="R2" s="566"/>
      <c r="S2" s="566"/>
      <c r="T2" s="567"/>
    </row>
    <row r="3" spans="1:20" ht="12" customHeight="1">
      <c r="A3" s="2" t="s">
        <v>3</v>
      </c>
      <c r="B3" s="170">
        <v>100</v>
      </c>
      <c r="C3" s="171" t="s">
        <v>4</v>
      </c>
      <c r="D3" s="579" t="s">
        <v>662</v>
      </c>
      <c r="E3" s="580"/>
      <c r="F3" s="172" t="str">
        <f>VLOOKUP(HoofdGist,gisttabel,5)</f>
        <v>Zacht en aangenaam</v>
      </c>
      <c r="G3" s="15"/>
      <c r="H3" s="15"/>
      <c r="I3" s="3"/>
      <c r="K3" s="145"/>
      <c r="L3" s="146" t="s">
        <v>668</v>
      </c>
      <c r="M3" s="147" t="s">
        <v>678</v>
      </c>
      <c r="N3" s="3"/>
      <c r="O3" s="3"/>
      <c r="P3" s="568"/>
      <c r="Q3" s="569"/>
      <c r="R3" s="569"/>
      <c r="S3" s="569"/>
      <c r="T3" s="570"/>
    </row>
    <row r="4" spans="1:20" ht="11.25" customHeight="1">
      <c r="A4" s="176" t="s">
        <v>6</v>
      </c>
      <c r="B4" s="177" t="s">
        <v>7</v>
      </c>
      <c r="C4" s="177" t="s">
        <v>8</v>
      </c>
      <c r="D4" s="178" t="s">
        <v>22</v>
      </c>
      <c r="E4" s="179" t="s">
        <v>9</v>
      </c>
      <c r="F4" s="177" t="s">
        <v>10</v>
      </c>
      <c r="G4" s="177" t="s">
        <v>11</v>
      </c>
      <c r="H4" s="180" t="s">
        <v>21</v>
      </c>
      <c r="I4" s="3"/>
      <c r="J4" s="334" t="s">
        <v>175</v>
      </c>
      <c r="M4" s="131"/>
      <c r="N4" s="3"/>
      <c r="O4" s="3"/>
      <c r="P4" s="571" t="s">
        <v>53</v>
      </c>
      <c r="Q4" s="573" t="s">
        <v>51</v>
      </c>
      <c r="R4" s="573" t="s">
        <v>52</v>
      </c>
      <c r="S4" s="595" t="s">
        <v>576</v>
      </c>
      <c r="T4" s="597" t="s">
        <v>54</v>
      </c>
    </row>
    <row r="5" spans="1:20" ht="10.5" customHeight="1">
      <c r="A5" s="181" t="s">
        <v>230</v>
      </c>
      <c r="B5" s="68">
        <v>80</v>
      </c>
      <c r="C5" s="68">
        <v>3</v>
      </c>
      <c r="D5" s="523">
        <v>25</v>
      </c>
      <c r="E5" s="69">
        <f>IF(Gewenste_liters=0,"0",IF(D5=0,"  ",(0.96*B5*D5/(Gewenste_liters))*effic))</f>
        <v>14.975999999999999</v>
      </c>
      <c r="F5" s="70">
        <f>IF(Gewenste_liters=0,"0",IF(D5=0," ",IF(C5&gt;200,C5*E5/8.6*1.05,IF(C5&lt;60,C5*E5/8.6*1.26,C5*E5/8.6*1.15))))</f>
        <v>6.582474418604651</v>
      </c>
      <c r="G5" s="519">
        <f aca="true" t="shared" si="0" ref="G5:G21">IF(D5="","  ",(D5*100/Totaalkg))</f>
        <v>68.96551724137932</v>
      </c>
      <c r="H5" s="467">
        <f aca="true" t="shared" si="1" ref="H5:H20">IF(E5="  ","  ",(E5*100/totplato))</f>
        <v>65.91270791375013</v>
      </c>
      <c r="I5" s="3"/>
      <c r="J5" s="336" t="s">
        <v>173</v>
      </c>
      <c r="K5" s="24"/>
      <c r="L5" s="15"/>
      <c r="M5" s="335"/>
      <c r="N5" s="3"/>
      <c r="O5" s="3"/>
      <c r="P5" s="572"/>
      <c r="Q5" s="574"/>
      <c r="R5" s="574"/>
      <c r="S5" s="596"/>
      <c r="T5" s="598"/>
    </row>
    <row r="6" spans="1:20" ht="10.5" customHeight="1">
      <c r="A6" s="182" t="s">
        <v>629</v>
      </c>
      <c r="B6" s="4">
        <v>80</v>
      </c>
      <c r="C6" s="4">
        <v>9</v>
      </c>
      <c r="D6" s="524">
        <v>2</v>
      </c>
      <c r="E6" s="5">
        <f aca="true" t="shared" si="2" ref="E6:E17">IF(Gewenste_liters=0,"0",IF(D6=0,"  ",(0.96*B6*D6/(Gewenste_liters))*effic))</f>
        <v>1.19808</v>
      </c>
      <c r="F6" s="10">
        <f aca="true" t="shared" si="3" ref="F6:F17">IF(Gewenste_liters=0,"0",IF(D6=0," ",IF(C6&gt;200,C6*E6/8.6*1.05,IF(C6&lt;60,C6*E6/8.6*1.26,C6*E6/8.6*1.15))))</f>
        <v>1.5797938604651165</v>
      </c>
      <c r="G6" s="520">
        <f t="shared" si="0"/>
        <v>5.517241379310345</v>
      </c>
      <c r="H6" s="469">
        <f t="shared" si="1"/>
        <v>5.273016633100011</v>
      </c>
      <c r="I6" s="3"/>
      <c r="J6" s="462" t="s">
        <v>563</v>
      </c>
      <c r="K6" s="43" t="s">
        <v>573</v>
      </c>
      <c r="L6" s="337">
        <f>IF(moutkilos=0,"",IF(Aardbier=1,moutkilos*1.6*($B$28-mouttemp)/(mashwater*4.18),moutkilos*1.6*($B$27-mouttemp)/(mashwater*4.18)))</f>
        <v>3.2498797388967025</v>
      </c>
      <c r="M6" s="74">
        <f>SUM($D$5:$D$17)</f>
        <v>32.75</v>
      </c>
      <c r="N6" s="3"/>
      <c r="O6" s="3"/>
      <c r="P6" s="89"/>
      <c r="Q6" s="90"/>
      <c r="R6" s="223"/>
      <c r="S6" s="106"/>
      <c r="T6" s="226"/>
    </row>
    <row r="7" spans="1:20" ht="10.5" customHeight="1">
      <c r="A7" s="183" t="s">
        <v>211</v>
      </c>
      <c r="B7" s="71">
        <v>81</v>
      </c>
      <c r="C7" s="71">
        <v>3</v>
      </c>
      <c r="D7" s="525"/>
      <c r="E7" s="69" t="str">
        <f t="shared" si="2"/>
        <v>  </v>
      </c>
      <c r="F7" s="70" t="str">
        <f t="shared" si="3"/>
        <v> </v>
      </c>
      <c r="G7" s="519" t="str">
        <f t="shared" si="0"/>
        <v>  </v>
      </c>
      <c r="H7" s="467" t="str">
        <f t="shared" si="1"/>
        <v>  </v>
      </c>
      <c r="I7" s="3"/>
      <c r="J7" s="336"/>
      <c r="K7" s="24"/>
      <c r="L7" s="461" t="s">
        <v>562</v>
      </c>
      <c r="M7" s="338">
        <v>90</v>
      </c>
      <c r="N7" s="3"/>
      <c r="O7" s="3"/>
      <c r="P7" s="89" t="s">
        <v>609</v>
      </c>
      <c r="Q7" s="90">
        <v>68</v>
      </c>
      <c r="R7" s="223">
        <v>106</v>
      </c>
      <c r="S7" s="106">
        <v>20</v>
      </c>
      <c r="T7" s="226" t="s">
        <v>619</v>
      </c>
    </row>
    <row r="8" spans="1:20" ht="10.5" customHeight="1">
      <c r="A8" s="184" t="s">
        <v>630</v>
      </c>
      <c r="B8" s="7">
        <v>73.5</v>
      </c>
      <c r="C8" s="7">
        <v>6</v>
      </c>
      <c r="D8" s="526"/>
      <c r="E8" s="5" t="str">
        <f t="shared" si="2"/>
        <v>  </v>
      </c>
      <c r="F8" s="6" t="str">
        <f t="shared" si="3"/>
        <v> </v>
      </c>
      <c r="G8" s="521" t="str">
        <f t="shared" si="0"/>
        <v>  </v>
      </c>
      <c r="H8" s="469" t="str">
        <f t="shared" si="1"/>
        <v>  </v>
      </c>
      <c r="I8" s="3"/>
      <c r="J8" s="341"/>
      <c r="K8" s="340" t="str">
        <f>IF($K$6="J","de kooktijd blijft","Advieskooktijd:")</f>
        <v>Advieskooktijd:</v>
      </c>
      <c r="L8" s="139">
        <f>IF($K$6="N",voorkeurkooktyd,$M$7)</f>
        <v>86.55479999999999</v>
      </c>
      <c r="M8" s="73">
        <f>IF((Gewenste_liters+(1.7*moutkilos)*1.2)&lt;mashwater,mashwater+verkookwater,Gewenste_liters+(1.2*moutkilos)*1.2+verkookwater)</f>
        <v>152.69482146666667</v>
      </c>
      <c r="N8" s="3"/>
      <c r="O8" s="3"/>
      <c r="P8" s="89" t="s">
        <v>564</v>
      </c>
      <c r="Q8" s="90">
        <v>70</v>
      </c>
      <c r="R8" s="223">
        <v>106</v>
      </c>
      <c r="S8" s="106">
        <v>21</v>
      </c>
      <c r="T8" s="226" t="s">
        <v>640</v>
      </c>
    </row>
    <row r="9" spans="1:20" ht="10.5" customHeight="1">
      <c r="A9" s="183" t="s">
        <v>12</v>
      </c>
      <c r="B9" s="71">
        <v>73.5</v>
      </c>
      <c r="C9" s="71">
        <v>1</v>
      </c>
      <c r="D9" s="525"/>
      <c r="E9" s="69" t="str">
        <f t="shared" si="2"/>
        <v>  </v>
      </c>
      <c r="F9" s="70" t="str">
        <f t="shared" si="3"/>
        <v> </v>
      </c>
      <c r="G9" s="519" t="str">
        <f t="shared" si="0"/>
        <v>  </v>
      </c>
      <c r="H9" s="467" t="str">
        <f t="shared" si="1"/>
        <v>  </v>
      </c>
      <c r="I9" s="3"/>
      <c r="J9" s="343">
        <f>IF(mashplato&lt;16,70,(mashplato-16)*5+70.1)</f>
        <v>86.55479999999999</v>
      </c>
      <c r="K9" s="339">
        <f>SUM($F$5:$F$17)</f>
        <v>67.35099013953489</v>
      </c>
      <c r="L9" s="479">
        <f>IF(Aardbier="D",0+Diktefactor,IF(Aardbier="M",1+Diktefactor,2+Diktefactor))</f>
        <v>0.8</v>
      </c>
      <c r="M9" s="92">
        <f>VLOOKUP(HoofdGist,gisttabel,2)</f>
        <v>82</v>
      </c>
      <c r="N9" s="3"/>
      <c r="O9" s="3"/>
      <c r="P9" s="91" t="s">
        <v>569</v>
      </c>
      <c r="Q9" s="90">
        <v>72</v>
      </c>
      <c r="R9" s="223">
        <v>107</v>
      </c>
      <c r="S9" s="106">
        <v>11</v>
      </c>
      <c r="T9" s="226" t="s">
        <v>641</v>
      </c>
    </row>
    <row r="10" spans="1:20" ht="10.5" customHeight="1">
      <c r="A10" s="184" t="s">
        <v>13</v>
      </c>
      <c r="B10" s="7">
        <v>73.5</v>
      </c>
      <c r="C10" s="7">
        <v>2</v>
      </c>
      <c r="D10" s="526"/>
      <c r="E10" s="5" t="str">
        <f t="shared" si="2"/>
        <v>  </v>
      </c>
      <c r="F10" s="6" t="str">
        <f t="shared" si="3"/>
        <v> </v>
      </c>
      <c r="G10" s="521" t="str">
        <f t="shared" si="0"/>
        <v>  </v>
      </c>
      <c r="H10" s="469" t="str">
        <f t="shared" si="1"/>
        <v>  </v>
      </c>
      <c r="I10" s="3"/>
      <c r="J10" s="137"/>
      <c r="K10" s="140" t="s">
        <v>56</v>
      </c>
      <c r="L10" s="138"/>
      <c r="M10" s="344">
        <f>IF(mashplato=0,0,mashplato/(mashplato+Suikerplato))</f>
        <v>0.8490380688139938</v>
      </c>
      <c r="N10" s="3"/>
      <c r="O10" s="3"/>
      <c r="P10" s="91" t="s">
        <v>566</v>
      </c>
      <c r="Q10" s="86">
        <v>71.5</v>
      </c>
      <c r="R10" s="223">
        <v>107</v>
      </c>
      <c r="S10" s="106">
        <v>20</v>
      </c>
      <c r="T10" s="226" t="s">
        <v>642</v>
      </c>
    </row>
    <row r="11" spans="1:20" ht="10.5" customHeight="1">
      <c r="A11" s="183" t="s">
        <v>631</v>
      </c>
      <c r="B11" s="71">
        <v>80</v>
      </c>
      <c r="C11" s="71">
        <v>15</v>
      </c>
      <c r="D11" s="525">
        <v>2.5</v>
      </c>
      <c r="E11" s="69">
        <f t="shared" si="2"/>
        <v>1.4976</v>
      </c>
      <c r="F11" s="70">
        <f t="shared" si="3"/>
        <v>3.2912372093023263</v>
      </c>
      <c r="G11" s="519">
        <f t="shared" si="0"/>
        <v>6.896551724137931</v>
      </c>
      <c r="H11" s="467">
        <f t="shared" si="1"/>
        <v>6.591270791375012</v>
      </c>
      <c r="I11" s="3"/>
      <c r="J11" s="478">
        <f>(1+($L$11/(258.6-0.87955*$L$11)))*1000</f>
        <v>1079.8359042420977</v>
      </c>
      <c r="K11" s="138"/>
      <c r="L11" s="46">
        <f>SUM($E$5:$E$17)+Maltodexplato</f>
        <v>19.29096</v>
      </c>
      <c r="M11" s="45">
        <f>IF(ISNUMBER($L$11),$L$11*1.035,"")</f>
        <v>19.966143599999995</v>
      </c>
      <c r="N11" s="3"/>
      <c r="O11" s="3"/>
      <c r="P11" s="89" t="s">
        <v>565</v>
      </c>
      <c r="Q11" s="90">
        <v>81</v>
      </c>
      <c r="R11" s="223">
        <v>107</v>
      </c>
      <c r="S11" s="106">
        <v>20</v>
      </c>
      <c r="T11" s="226" t="s">
        <v>643</v>
      </c>
    </row>
    <row r="12" spans="1:20" ht="10.5" customHeight="1">
      <c r="A12" s="184" t="s">
        <v>632</v>
      </c>
      <c r="B12" s="7">
        <v>69</v>
      </c>
      <c r="C12" s="7">
        <v>50</v>
      </c>
      <c r="D12" s="526">
        <v>1</v>
      </c>
      <c r="E12" s="5">
        <f t="shared" si="2"/>
        <v>0.516672</v>
      </c>
      <c r="F12" s="6">
        <f t="shared" si="3"/>
        <v>3.784922790697675</v>
      </c>
      <c r="G12" s="521">
        <f t="shared" si="0"/>
        <v>2.7586206896551726</v>
      </c>
      <c r="H12" s="469">
        <f t="shared" si="1"/>
        <v>2.2739884230243796</v>
      </c>
      <c r="I12" s="3"/>
      <c r="J12" s="137"/>
      <c r="K12" s="140" t="s">
        <v>57</v>
      </c>
      <c r="L12" s="138"/>
      <c r="M12" s="344">
        <f>IF(Suikerplato=0,0,Suikerplato/(mashplato+Suikerplato))</f>
        <v>0.15096193118600623</v>
      </c>
      <c r="N12" s="3"/>
      <c r="O12" s="3"/>
      <c r="P12" s="89" t="s">
        <v>567</v>
      </c>
      <c r="Q12" s="90">
        <v>77</v>
      </c>
      <c r="R12" s="223">
        <v>106</v>
      </c>
      <c r="S12" s="106">
        <v>11</v>
      </c>
      <c r="T12" s="226" t="s">
        <v>644</v>
      </c>
    </row>
    <row r="13" spans="1:20" ht="10.5" customHeight="1">
      <c r="A13" s="185" t="s">
        <v>633</v>
      </c>
      <c r="B13" s="71">
        <v>69</v>
      </c>
      <c r="C13" s="71">
        <v>120</v>
      </c>
      <c r="D13" s="525">
        <v>0.75</v>
      </c>
      <c r="E13" s="69">
        <f t="shared" si="2"/>
        <v>0.38750399999999996</v>
      </c>
      <c r="F13" s="70">
        <f t="shared" si="3"/>
        <v>6.218087441860464</v>
      </c>
      <c r="G13" s="519">
        <f t="shared" si="0"/>
        <v>2.0689655172413794</v>
      </c>
      <c r="H13" s="467">
        <f t="shared" si="1"/>
        <v>1.7054913172682846</v>
      </c>
      <c r="I13" s="3"/>
      <c r="J13" s="478">
        <f>(1+($L$13/(258.6-0.87955*$L$13)))*1000</f>
        <v>1013.4202903721623</v>
      </c>
      <c r="K13" s="138"/>
      <c r="L13" s="46">
        <f>SUM($E$18:$E$20)</f>
        <v>3.43</v>
      </c>
      <c r="M13" s="45">
        <f>IF(ISNUMBER($L$13),$L$13,"")</f>
        <v>3.43</v>
      </c>
      <c r="N13" s="3"/>
      <c r="O13" s="3"/>
      <c r="P13" s="89" t="s">
        <v>575</v>
      </c>
      <c r="Q13" s="90">
        <v>79</v>
      </c>
      <c r="R13" s="223">
        <v>106</v>
      </c>
      <c r="S13" s="106">
        <v>20</v>
      </c>
      <c r="T13" s="226" t="s">
        <v>645</v>
      </c>
    </row>
    <row r="14" spans="1:20" ht="10.5" customHeight="1">
      <c r="A14" s="184" t="s">
        <v>634</v>
      </c>
      <c r="B14" s="7">
        <v>65</v>
      </c>
      <c r="C14" s="7">
        <v>350</v>
      </c>
      <c r="D14" s="526">
        <v>1</v>
      </c>
      <c r="E14" s="5">
        <f t="shared" si="2"/>
        <v>0.48672000000000004</v>
      </c>
      <c r="F14" s="6">
        <f t="shared" si="3"/>
        <v>20.798790697674423</v>
      </c>
      <c r="G14" s="521">
        <f t="shared" si="0"/>
        <v>2.7586206896551726</v>
      </c>
      <c r="H14" s="469">
        <f t="shared" si="1"/>
        <v>2.1421630071968796</v>
      </c>
      <c r="I14" s="3"/>
      <c r="J14" s="142"/>
      <c r="K14" s="140" t="s">
        <v>58</v>
      </c>
      <c r="L14" s="138"/>
      <c r="M14" s="342">
        <f>IF($D$21="",0,$E$21)</f>
        <v>0</v>
      </c>
      <c r="N14" s="3"/>
      <c r="O14" s="3"/>
      <c r="P14" s="89" t="s">
        <v>189</v>
      </c>
      <c r="Q14" s="90">
        <v>73</v>
      </c>
      <c r="R14" s="223">
        <v>106</v>
      </c>
      <c r="S14" s="106">
        <v>20</v>
      </c>
      <c r="T14" s="226" t="s">
        <v>646</v>
      </c>
    </row>
    <row r="15" spans="1:21" ht="10.5" customHeight="1">
      <c r="A15" s="183" t="s">
        <v>635</v>
      </c>
      <c r="B15" s="71">
        <v>61</v>
      </c>
      <c r="C15" s="71">
        <v>900</v>
      </c>
      <c r="D15" s="525">
        <v>0.5</v>
      </c>
      <c r="E15" s="69">
        <f t="shared" si="2"/>
        <v>0.22838399999999998</v>
      </c>
      <c r="F15" s="70">
        <f t="shared" si="3"/>
        <v>25.09568372093023</v>
      </c>
      <c r="G15" s="519">
        <f t="shared" si="0"/>
        <v>1.3793103448275863</v>
      </c>
      <c r="H15" s="467">
        <f t="shared" si="1"/>
        <v>1.0051687956846893</v>
      </c>
      <c r="I15" s="3"/>
      <c r="J15" s="477">
        <f>(1+(totplato/(258.6-0.87955*totplato)))*1000</f>
        <v>1095.2198552628872</v>
      </c>
      <c r="K15" s="138"/>
      <c r="L15" s="44">
        <f>IF(ISNUMBER(totplato),totplato,"")</f>
        <v>22.720959999999998</v>
      </c>
      <c r="M15" s="45">
        <f>IF(ISNUMBER($L$15),$M$11+$M$13,"")</f>
        <v>23.396143599999995</v>
      </c>
      <c r="N15" s="3"/>
      <c r="O15" s="3"/>
      <c r="P15" s="89" t="s">
        <v>601</v>
      </c>
      <c r="Q15" s="90">
        <v>82</v>
      </c>
      <c r="R15" s="223">
        <v>107.5</v>
      </c>
      <c r="S15" s="106">
        <v>21</v>
      </c>
      <c r="T15" s="226" t="s">
        <v>647</v>
      </c>
      <c r="U15" s="348"/>
    </row>
    <row r="16" spans="1:22" ht="11.25" customHeight="1">
      <c r="A16" s="184" t="s">
        <v>14</v>
      </c>
      <c r="B16" s="7"/>
      <c r="C16" s="7"/>
      <c r="D16" s="524"/>
      <c r="E16" s="5" t="str">
        <f t="shared" si="2"/>
        <v>  </v>
      </c>
      <c r="F16" s="6" t="str">
        <f t="shared" si="3"/>
        <v> </v>
      </c>
      <c r="G16" s="521" t="str">
        <f t="shared" si="0"/>
        <v>  </v>
      </c>
      <c r="H16" s="469" t="str">
        <f t="shared" si="1"/>
        <v>  </v>
      </c>
      <c r="I16" s="169"/>
      <c r="J16" s="509" t="s">
        <v>167</v>
      </c>
      <c r="K16" s="140"/>
      <c r="L16" s="143"/>
      <c r="M16" s="345">
        <f>IF($M$13=0,1.035,$M$15/$L$15)</f>
        <v>1.0297163324084897</v>
      </c>
      <c r="N16" s="3"/>
      <c r="O16" s="3"/>
      <c r="P16" s="89" t="s">
        <v>662</v>
      </c>
      <c r="Q16" s="90">
        <v>82</v>
      </c>
      <c r="R16" s="223">
        <v>107.5</v>
      </c>
      <c r="S16" s="106">
        <v>21</v>
      </c>
      <c r="T16" s="226" t="s">
        <v>648</v>
      </c>
      <c r="V16" s="495"/>
    </row>
    <row r="17" spans="1:22" ht="10.5" customHeight="1">
      <c r="A17" s="183" t="s">
        <v>14</v>
      </c>
      <c r="B17" s="71"/>
      <c r="C17" s="71"/>
      <c r="D17" s="527"/>
      <c r="E17" s="69" t="str">
        <f t="shared" si="2"/>
        <v>  </v>
      </c>
      <c r="F17" s="72" t="str">
        <f t="shared" si="3"/>
        <v> </v>
      </c>
      <c r="G17" s="522" t="str">
        <f t="shared" si="0"/>
        <v>  </v>
      </c>
      <c r="H17" s="470" t="str">
        <f t="shared" si="1"/>
        <v>  </v>
      </c>
      <c r="I17" s="3"/>
      <c r="J17" s="144">
        <f>totplato/2.7*Gewenste_liters/100</f>
        <v>8.415170370370369</v>
      </c>
      <c r="K17" s="136"/>
      <c r="L17" s="330" t="s">
        <v>174</v>
      </c>
      <c r="M17" s="329" t="s">
        <v>74</v>
      </c>
      <c r="N17" s="3"/>
      <c r="O17" s="3"/>
      <c r="P17" s="87" t="s">
        <v>659</v>
      </c>
      <c r="Q17" s="88">
        <v>82</v>
      </c>
      <c r="R17" s="223">
        <v>107.5</v>
      </c>
      <c r="S17" s="107">
        <v>21</v>
      </c>
      <c r="T17" s="227" t="s">
        <v>649</v>
      </c>
      <c r="V17" s="528"/>
    </row>
    <row r="18" spans="1:20" ht="10.5" customHeight="1">
      <c r="A18" s="186" t="s">
        <v>15</v>
      </c>
      <c r="B18" s="8">
        <v>100</v>
      </c>
      <c r="C18" s="8">
        <v>0.2</v>
      </c>
      <c r="D18" s="58"/>
      <c r="E18" s="9" t="str">
        <f>IF(Gewenste_liters=0,"0",IF(D18=0,"  ",(B18*D18/(Gewenste_liters))))</f>
        <v>  </v>
      </c>
      <c r="F18" s="10" t="str">
        <f>IF(Gewenste_liters=0,"0",IF(D18=0,"  ",C18*E18/8.6))</f>
        <v>  </v>
      </c>
      <c r="G18" s="468" t="str">
        <f t="shared" si="0"/>
        <v>  </v>
      </c>
      <c r="H18" s="469" t="str">
        <f t="shared" si="1"/>
        <v>  </v>
      </c>
      <c r="I18" s="3"/>
      <c r="J18" s="102" t="str">
        <f>IF(M17="J","Dan blijft de stamwort:","Dan is de verdunde stamwort:")</f>
        <v>Dan blijft de stamwort:</v>
      </c>
      <c r="K18" s="101"/>
      <c r="M18" s="484">
        <f>IF(moutkleur+2&lt;35,SVGopmout-ATNfactor,SVGopmout-ATNfactor-(moutkleur/80))</f>
        <v>80.35811262325582</v>
      </c>
      <c r="N18" s="3"/>
      <c r="O18" s="3"/>
      <c r="P18" s="89" t="s">
        <v>661</v>
      </c>
      <c r="Q18" s="90">
        <v>82.5</v>
      </c>
      <c r="R18" s="223">
        <v>107.5</v>
      </c>
      <c r="S18" s="106">
        <v>20</v>
      </c>
      <c r="T18" s="226" t="s">
        <v>639</v>
      </c>
    </row>
    <row r="19" spans="1:20" ht="10.5" customHeight="1">
      <c r="A19" s="187" t="s">
        <v>16</v>
      </c>
      <c r="B19" s="60">
        <v>92</v>
      </c>
      <c r="C19" s="60">
        <v>0.2</v>
      </c>
      <c r="D19" s="61"/>
      <c r="E19" s="62" t="str">
        <f>IF(Gewenste_liters=0,"0",IF(D19=0,"  ",(B19*D19/Gewenste_liters)))</f>
        <v>  </v>
      </c>
      <c r="F19" s="63" t="str">
        <f>IF(Gewenste_liters=0,"0",IF(D19=0,"  ",B19*D19/Gewenste_liters*C19*0.95))</f>
        <v>  </v>
      </c>
      <c r="G19" s="471" t="str">
        <f t="shared" si="0"/>
        <v>  </v>
      </c>
      <c r="H19" s="472" t="str">
        <f t="shared" si="1"/>
        <v>  </v>
      </c>
      <c r="I19" s="22"/>
      <c r="J19" s="477">
        <f>(1+(CORstamplato/(258.6-0.87955*CORstamplato)))*1000</f>
        <v>1095.2198552628872</v>
      </c>
      <c r="L19" s="44">
        <f>IF($M$17="N",(((Starter*2.56*1.05)+(totplato*StamwortSG*Gewenste_liters))/(Gewenste_liters+Starter)/StamwortSG),$L$15)</f>
        <v>22.720959999999998</v>
      </c>
      <c r="M19" s="45">
        <f>CORstamplato*Brixratio</f>
        <v>23.396143599999995</v>
      </c>
      <c r="N19" s="3"/>
      <c r="O19" s="3"/>
      <c r="P19" s="89" t="s">
        <v>660</v>
      </c>
      <c r="Q19" s="90">
        <v>79</v>
      </c>
      <c r="R19" s="223">
        <v>107.5</v>
      </c>
      <c r="S19" s="106">
        <v>20</v>
      </c>
      <c r="T19" s="226" t="s">
        <v>650</v>
      </c>
    </row>
    <row r="20" spans="1:22" ht="10.5" customHeight="1">
      <c r="A20" s="188" t="s">
        <v>17</v>
      </c>
      <c r="B20" s="11">
        <v>98</v>
      </c>
      <c r="C20" s="11">
        <v>2</v>
      </c>
      <c r="D20" s="59">
        <v>3.5</v>
      </c>
      <c r="E20" s="12">
        <f>IF(Gewenste_liters=0,"0",IF(D20=0,"  ",(B20*D20/Gewenste_liters)))</f>
        <v>3.43</v>
      </c>
      <c r="F20" s="13">
        <f>IF(Gewenste_liters=0,"0",IF(D20=0,"  ",B20*D20/Gewenste_liters*C20*0.95))</f>
        <v>6.517</v>
      </c>
      <c r="G20" s="473">
        <f t="shared" si="0"/>
        <v>9.655172413793103</v>
      </c>
      <c r="H20" s="474">
        <f t="shared" si="1"/>
        <v>15.096193118600624</v>
      </c>
      <c r="I20" s="18"/>
      <c r="J20" s="332" t="s">
        <v>168</v>
      </c>
      <c r="K20" s="331"/>
      <c r="L20" s="331"/>
      <c r="M20" s="38"/>
      <c r="N20" s="3"/>
      <c r="O20" s="3"/>
      <c r="P20" s="89" t="s">
        <v>663</v>
      </c>
      <c r="Q20" s="90">
        <v>82</v>
      </c>
      <c r="R20" s="223">
        <v>107.5</v>
      </c>
      <c r="S20" s="233" t="s">
        <v>658</v>
      </c>
      <c r="T20" s="226" t="s">
        <v>651</v>
      </c>
      <c r="V20" s="516"/>
    </row>
    <row r="21" spans="1:20" ht="10.5" customHeight="1">
      <c r="A21" s="189" t="s">
        <v>18</v>
      </c>
      <c r="B21" s="64">
        <v>100</v>
      </c>
      <c r="C21" s="64">
        <v>2.5</v>
      </c>
      <c r="D21" s="65"/>
      <c r="E21" s="66" t="str">
        <f>IF(Gewenste_liters=0,"0",IF(D21=0,"  ",(B21*D21*0.99/Gewenste_liters)))</f>
        <v>  </v>
      </c>
      <c r="F21" s="67" t="str">
        <f>IF(Gewenste_liters=0,"0",IF(D21=0,"  ",B21*D21/Gewenste_liters*C21*0.95))</f>
        <v>  </v>
      </c>
      <c r="G21" s="475" t="str">
        <f t="shared" si="0"/>
        <v>  </v>
      </c>
      <c r="H21" s="476" t="str">
        <f>IF(E21="  ","  ",(E21*100/totplato))</f>
        <v>  </v>
      </c>
      <c r="I21" s="22"/>
      <c r="J21" s="28" t="s">
        <v>23</v>
      </c>
      <c r="K21" s="41">
        <f>IF(mashplato=0,voorlopigSVG,IF(mashplato&lt;6.5,voorlopigSVG+7.11,IF(mashplato&lt;12.5,voorlopigSVG+((12.5/mashplato)*(12.5/mashplato)*(12.5/mashplato)),voorlopigSVG)))</f>
        <v>80.35811262325582</v>
      </c>
      <c r="L21" s="15"/>
      <c r="M21" s="25" t="s">
        <v>169</v>
      </c>
      <c r="N21" s="3"/>
      <c r="O21" s="3"/>
      <c r="P21" s="89" t="s">
        <v>664</v>
      </c>
      <c r="Q21" s="90">
        <v>83</v>
      </c>
      <c r="R21" s="223">
        <v>107.5</v>
      </c>
      <c r="S21" s="106">
        <v>20</v>
      </c>
      <c r="T21" s="226" t="s">
        <v>652</v>
      </c>
    </row>
    <row r="22" spans="1:20" ht="10.5" customHeight="1">
      <c r="A22" s="190" t="s">
        <v>586</v>
      </c>
      <c r="B22" s="191">
        <v>100</v>
      </c>
      <c r="C22" s="191">
        <v>9000</v>
      </c>
      <c r="D22" s="485"/>
      <c r="E22" s="192" t="str">
        <f>IF(Gewenste_liters=0,"0",IF(D22=0,"  ",(B22*D22/2000/Gewenste_liters)))</f>
        <v>  </v>
      </c>
      <c r="F22" s="193" t="str">
        <f>IF(Gewenste_liters=0,"0",IF(D22=0,"  ",D22/Gewenste_liters*C22/100))</f>
        <v>  </v>
      </c>
      <c r="G22" s="194"/>
      <c r="H22" s="195"/>
      <c r="I22" s="18"/>
      <c r="J22" s="28" t="s">
        <v>24</v>
      </c>
      <c r="K22" s="41">
        <f>VLOOKUP(HoofdGist,gisttabel,3)</f>
        <v>107.5</v>
      </c>
      <c r="L22" s="26"/>
      <c r="M22" s="42">
        <f>((CorSVG*mashpercent)+(SVGopsuiker*suikerpercent))/100</f>
        <v>0.844555043576822</v>
      </c>
      <c r="N22" s="3"/>
      <c r="O22" s="3"/>
      <c r="P22" s="91" t="s">
        <v>570</v>
      </c>
      <c r="Q22" s="86">
        <v>82</v>
      </c>
      <c r="R22" s="223">
        <v>107.5</v>
      </c>
      <c r="S22" s="106">
        <v>23</v>
      </c>
      <c r="T22" s="226" t="s">
        <v>653</v>
      </c>
    </row>
    <row r="23" spans="1:21" ht="10.5" customHeight="1">
      <c r="A23" s="553" t="s">
        <v>191</v>
      </c>
      <c r="B23" s="136"/>
      <c r="C23" s="16" t="s">
        <v>19</v>
      </c>
      <c r="D23" s="173">
        <f>SUM(D5:D21)</f>
        <v>36.25</v>
      </c>
      <c r="E23" s="174">
        <f>SUM(E5:E22)</f>
        <v>22.720959999999998</v>
      </c>
      <c r="F23" s="494">
        <f>SUM(F5:F22)</f>
        <v>73.86799013953488</v>
      </c>
      <c r="G23" s="555" t="s">
        <v>589</v>
      </c>
      <c r="H23" s="556"/>
      <c r="I23" s="23"/>
      <c r="J23" s="328" t="s">
        <v>571</v>
      </c>
      <c r="K23" s="140"/>
      <c r="M23" s="327">
        <f>0.1808*CORstamplato+0.8192*voorsp_eindplato</f>
        <v>7.001248163506398</v>
      </c>
      <c r="N23" s="3"/>
      <c r="O23" s="3"/>
      <c r="P23" s="91" t="s">
        <v>605</v>
      </c>
      <c r="Q23" s="90">
        <v>82.5</v>
      </c>
      <c r="R23" s="223">
        <v>107.5</v>
      </c>
      <c r="S23" s="106">
        <v>24</v>
      </c>
      <c r="T23" s="226" t="s">
        <v>654</v>
      </c>
      <c r="U23" s="516"/>
    </row>
    <row r="24" spans="1:20" ht="11.25" customHeight="1">
      <c r="A24" s="554"/>
      <c r="B24" s="499" t="s">
        <v>595</v>
      </c>
      <c r="C24" s="508">
        <f>IF(Eiwitrust="J",10,0)</f>
        <v>10</v>
      </c>
      <c r="D24" s="364" t="s">
        <v>188</v>
      </c>
      <c r="E24" s="365">
        <f>StamwortSG</f>
        <v>1095.2198552628872</v>
      </c>
      <c r="F24" s="175">
        <f>IF($F$23=0,0,$F$23+1.1*Kooktijd/60)</f>
        <v>75.45482813953488</v>
      </c>
      <c r="G24" s="555" t="s">
        <v>20</v>
      </c>
      <c r="H24" s="556"/>
      <c r="J24" s="477">
        <f>IF(voorsp_eindplato=0,1000,259/(259.12955-voorsp_eindplato)*1000)</f>
        <v>1013.3111868849473</v>
      </c>
      <c r="L24" s="44">
        <f>(CORstamplato+Maltodexplato)-(CORstamplato*M22)</f>
        <v>3.531858637092771</v>
      </c>
      <c r="M24" s="103">
        <f>IF((CORstamplato-VSPrestextract)/(2.0665-0.010665*CORstamplato)&lt;0,0,(CORstamplato-VSPrestextract)/(2.0665-0.010665*(CORstamplato-Maltodexplato)))</f>
        <v>8.617408123098569</v>
      </c>
      <c r="N24" s="3"/>
      <c r="O24" s="3"/>
      <c r="P24" s="89" t="s">
        <v>170</v>
      </c>
      <c r="Q24" s="90">
        <v>71</v>
      </c>
      <c r="R24" s="223">
        <v>106</v>
      </c>
      <c r="S24" s="106" t="s">
        <v>55</v>
      </c>
      <c r="T24" s="226" t="s">
        <v>655</v>
      </c>
    </row>
    <row r="25" spans="1:20" ht="10.5" customHeight="1">
      <c r="A25" s="21" t="s">
        <v>585</v>
      </c>
      <c r="B25" s="124">
        <v>22</v>
      </c>
      <c r="D25" s="20" t="s">
        <v>75</v>
      </c>
      <c r="E25" s="125">
        <f>IF(Beslag="DUN",4.1,IF(Beslag="MEDIUM",3.6,3))</f>
        <v>3.6</v>
      </c>
      <c r="G25" s="425" t="s">
        <v>25</v>
      </c>
      <c r="H25" s="14" t="s">
        <v>74</v>
      </c>
      <c r="I25" s="17"/>
      <c r="J25" s="95" t="s">
        <v>42</v>
      </c>
      <c r="K25" s="27"/>
      <c r="L25" s="97"/>
      <c r="M25" s="98" t="s">
        <v>39</v>
      </c>
      <c r="N25" s="3"/>
      <c r="O25" s="3"/>
      <c r="P25" s="89" t="s">
        <v>171</v>
      </c>
      <c r="Q25" s="90">
        <v>76</v>
      </c>
      <c r="R25" s="223">
        <v>107</v>
      </c>
      <c r="S25" s="106" t="s">
        <v>55</v>
      </c>
      <c r="T25" s="226" t="s">
        <v>656</v>
      </c>
    </row>
    <row r="26" spans="1:20" ht="12" customHeight="1">
      <c r="A26" s="126" t="s">
        <v>46</v>
      </c>
      <c r="B26" s="127">
        <f>moutkilos*mashfactor+verkookwater</f>
        <v>123.43482146666666</v>
      </c>
      <c r="C26" s="128" t="s">
        <v>26</v>
      </c>
      <c r="D26" s="129">
        <f>IF(moutkilos=0," - -",IF(Aardbier=1,($B$28+tempverlies)*ketelinvloed/100,($B$27+tempverlies)*ketelinvloed/100))</f>
        <v>57.249879738896695</v>
      </c>
      <c r="E26" s="130" t="s">
        <v>27</v>
      </c>
      <c r="F26" s="131"/>
      <c r="G26" s="15"/>
      <c r="J26" s="96" t="s">
        <v>41</v>
      </c>
      <c r="K26" s="27"/>
      <c r="L26" s="99"/>
      <c r="M26" s="100" t="s">
        <v>40</v>
      </c>
      <c r="N26" s="3"/>
      <c r="O26" s="3"/>
      <c r="P26" s="89" t="s">
        <v>172</v>
      </c>
      <c r="Q26" s="90">
        <v>82</v>
      </c>
      <c r="R26" s="223">
        <v>107.5</v>
      </c>
      <c r="S26" s="106" t="s">
        <v>55</v>
      </c>
      <c r="T26" s="226" t="s">
        <v>657</v>
      </c>
    </row>
    <row r="27" spans="1:20" ht="12" customHeight="1">
      <c r="A27" s="537" t="str">
        <f>IF(Aardbier=1,"éénstaps maisch,",IF(Eiwitrust="N","Geen eiwitrust, direct naar &gt;","1e fase, Eiwitrust&gt;"))</f>
        <v>1e fase, Eiwitrust&gt;</v>
      </c>
      <c r="B27" s="29">
        <f>IF(Aardbier=1,"      er is",IF(Eiwitrust="J",54,$B$28))</f>
        <v>54</v>
      </c>
      <c r="C27" s="199" t="str">
        <f>IF(Aardbier=1,"dus geen ",IF(Eiwitrust="J","± 2° C",""))</f>
        <v>± 2° C</v>
      </c>
      <c r="D27" s="30">
        <f>IF(Aardbier=1,"eiwitrust   ",IF(Eiwitrust="J",C24,""))</f>
        <v>10</v>
      </c>
      <c r="E27" s="163"/>
      <c r="F27" s="164"/>
      <c r="G27" s="35" t="s">
        <v>177</v>
      </c>
      <c r="J27" s="39">
        <f>Gewenste_liters*1.015</f>
        <v>101.49999999999999</v>
      </c>
      <c r="K27" s="51"/>
      <c r="L27" s="529">
        <f>IF((CORstamplato-VSPrestextract)/(2.0665-0.010665*CORstamplato)=0,0,voorsp_eindSG/1000*VSPalcogewicht/0.794/100)</f>
        <v>0.10997627270892943</v>
      </c>
      <c r="M27" s="40" t="s">
        <v>637</v>
      </c>
      <c r="N27" s="3"/>
      <c r="O27" s="3"/>
      <c r="P27" s="89" t="s">
        <v>620</v>
      </c>
      <c r="Q27" s="90">
        <v>70</v>
      </c>
      <c r="R27" s="223">
        <v>107.5</v>
      </c>
      <c r="S27" s="106"/>
      <c r="T27" s="226"/>
    </row>
    <row r="28" spans="1:20" ht="12" customHeight="1">
      <c r="A28" s="535" t="str">
        <f>IF(Aardbier=1,"éénstaps maisch &gt;","β amylase &gt;")</f>
        <v>β amylase &gt;</v>
      </c>
      <c r="B28" s="47">
        <f>IF(Aardbier=1,66,IF(Aardbier="D",62,63))</f>
        <v>62</v>
      </c>
      <c r="C28" s="48" t="str">
        <f>IF(Aardbier=1,"± 1,5°C",IF(Aardbier="D","± 1,5°C","± 2°C"))</f>
        <v>± 1,5°C</v>
      </c>
      <c r="D28" s="49">
        <f>IF(Aardbier=1,90,IF(Aardbier="Z",25-($C$24/2),35-($C$24/2)))</f>
        <v>30</v>
      </c>
      <c r="E28" s="159"/>
      <c r="F28" s="160"/>
      <c r="G28" s="372" t="s">
        <v>178</v>
      </c>
      <c r="H28" s="350"/>
      <c r="I28" s="371" t="s">
        <v>183</v>
      </c>
      <c r="J28" s="371"/>
      <c r="K28" s="373">
        <f>(INT(160*Starter/10))*10</f>
        <v>1340</v>
      </c>
      <c r="L28" s="370" t="s">
        <v>184</v>
      </c>
      <c r="M28" s="360"/>
      <c r="N28" s="26"/>
      <c r="O28" s="3"/>
      <c r="P28" s="89" t="s">
        <v>621</v>
      </c>
      <c r="Q28" s="90">
        <v>73</v>
      </c>
      <c r="R28" s="223">
        <v>107.5</v>
      </c>
      <c r="S28" s="106"/>
      <c r="T28" s="226"/>
    </row>
    <row r="29" spans="1:20" ht="11.25" customHeight="1">
      <c r="A29" s="537" t="str">
        <f>IF(Aardbier="D","Gemengde amylase &gt;","")</f>
        <v>Gemengde amylase &gt;</v>
      </c>
      <c r="B29" s="33" t="str">
        <f>IF(Aardbier="D","67 °C","")</f>
        <v>67 °C</v>
      </c>
      <c r="C29" s="33" t="str">
        <f>IF(Aardbier="D","± 1,5°C","")</f>
        <v>± 1,5°C</v>
      </c>
      <c r="D29" s="30">
        <f>IF(Aardbier="D",25,"")</f>
        <v>25</v>
      </c>
      <c r="E29" s="161"/>
      <c r="F29" s="162"/>
      <c r="G29" s="510" t="s">
        <v>185</v>
      </c>
      <c r="H29" s="511">
        <f>Starter*1.05</f>
        <v>8.835928888888887</v>
      </c>
      <c r="I29" s="512"/>
      <c r="J29" s="513" t="s">
        <v>603</v>
      </c>
      <c r="K29" s="360"/>
      <c r="L29" s="514"/>
      <c r="M29" s="515">
        <f>INT(Starter*totplato/4)</f>
        <v>47</v>
      </c>
      <c r="N29" s="26"/>
      <c r="O29" s="3"/>
      <c r="P29" s="89" t="s">
        <v>622</v>
      </c>
      <c r="Q29" s="90">
        <v>76</v>
      </c>
      <c r="R29" s="223">
        <v>107.5</v>
      </c>
      <c r="S29" s="106"/>
      <c r="T29" s="226"/>
    </row>
    <row r="30" spans="1:20" ht="12" customHeight="1">
      <c r="A30" s="536" t="str">
        <f>IF(Aardbier=1,"","α amylase &gt;")</f>
        <v>α amylase &gt;</v>
      </c>
      <c r="B30" s="47">
        <f>IF(Aardbier=1,"",72)</f>
        <v>72</v>
      </c>
      <c r="C30" s="48" t="str">
        <f>IF(Aardbier=1,"",IF(Aardbier="D","± 1,5°C","± 2°C"))</f>
        <v>± 1,5°C</v>
      </c>
      <c r="D30" s="49">
        <f>IF(Aardbier=1,"",IF(Aardbier="Z",30,20))</f>
        <v>20</v>
      </c>
      <c r="E30" s="159"/>
      <c r="F30" s="162"/>
      <c r="G30" s="370" t="s">
        <v>187</v>
      </c>
      <c r="H30" s="370"/>
      <c r="I30" s="362"/>
      <c r="J30" s="361"/>
      <c r="K30" s="362"/>
      <c r="L30" s="363"/>
      <c r="M30" s="362"/>
      <c r="N30" s="3"/>
      <c r="O30" s="3"/>
      <c r="P30" s="89"/>
      <c r="Q30" s="90"/>
      <c r="R30" s="223"/>
      <c r="S30" s="106"/>
      <c r="T30" s="226"/>
    </row>
    <row r="31" spans="1:16" ht="11.25" customHeight="1">
      <c r="A31" s="538" t="s">
        <v>671</v>
      </c>
      <c r="B31" s="31" t="s">
        <v>669</v>
      </c>
      <c r="C31" s="32" t="s">
        <v>47</v>
      </c>
      <c r="D31" s="34"/>
      <c r="E31" s="196">
        <f>IF(mashplato&lt;SUM(E18:E21),L32,IF(mashplato=0,0,totaalvolume-mashwater+($R$56/2)))</f>
        <v>40.96166666666667</v>
      </c>
      <c r="F31" s="132" t="s">
        <v>28</v>
      </c>
      <c r="G31" s="367" t="s">
        <v>186</v>
      </c>
      <c r="H31" s="366"/>
      <c r="I31" s="366"/>
      <c r="J31" s="368"/>
      <c r="M31" s="369">
        <f>Gewenste_liters/23*totplato</f>
        <v>98.78678260869563</v>
      </c>
      <c r="N31" s="3"/>
      <c r="O31" s="518"/>
      <c r="P31" s="1" t="s">
        <v>623</v>
      </c>
    </row>
    <row r="32" spans="1:21" ht="12" customHeight="1">
      <c r="A32" s="201" t="s">
        <v>29</v>
      </c>
      <c r="B32" s="504">
        <f>259/(259.12955-C32)*1000</f>
        <v>1024.0100801751323</v>
      </c>
      <c r="C32" s="202">
        <f>IF(mashplato&lt;15,3.6,mashplato*mashplato/60)</f>
        <v>6.202352295359999</v>
      </c>
      <c r="D32" s="203">
        <f>C32*1.035</f>
        <v>6.4194346256975985</v>
      </c>
      <c r="E32" s="130" t="s">
        <v>44</v>
      </c>
      <c r="F32" s="19"/>
      <c r="G32" s="165"/>
      <c r="H32" s="165"/>
      <c r="I32" s="165"/>
      <c r="J32" s="165"/>
      <c r="K32" s="482" t="s">
        <v>581</v>
      </c>
      <c r="L32" s="481">
        <f>$R$56+verkookwater+Gewenste_liters</f>
        <v>128.9381548</v>
      </c>
      <c r="M32" s="483">
        <f>L32/5</f>
        <v>25.78763096</v>
      </c>
      <c r="N32" s="3"/>
      <c r="O32" s="3"/>
      <c r="P32" s="589" t="s">
        <v>99</v>
      </c>
      <c r="Q32" s="590"/>
      <c r="R32" s="590"/>
      <c r="S32" s="590"/>
      <c r="T32" s="591"/>
      <c r="U32" s="26"/>
    </row>
    <row r="33" spans="1:20" ht="11.25" customHeight="1">
      <c r="A33" s="219" t="s">
        <v>101</v>
      </c>
      <c r="B33" s="210" t="s">
        <v>610</v>
      </c>
      <c r="C33" s="207" t="s">
        <v>30</v>
      </c>
      <c r="D33" s="208" t="s">
        <v>31</v>
      </c>
      <c r="E33" s="207" t="s">
        <v>32</v>
      </c>
      <c r="F33" s="209" t="s">
        <v>33</v>
      </c>
      <c r="G33" s="557" t="s">
        <v>34</v>
      </c>
      <c r="H33" s="558"/>
      <c r="I33" s="559"/>
      <c r="J33" s="211" t="s">
        <v>49</v>
      </c>
      <c r="K33" s="210" t="s">
        <v>154</v>
      </c>
      <c r="L33" s="211" t="s">
        <v>48</v>
      </c>
      <c r="M33" s="253" t="s">
        <v>38</v>
      </c>
      <c r="N33" s="3"/>
      <c r="O33" s="3"/>
      <c r="P33" s="592"/>
      <c r="Q33" s="593"/>
      <c r="R33" s="593"/>
      <c r="S33" s="593"/>
      <c r="T33" s="594"/>
    </row>
    <row r="34" spans="1:20" ht="10.5" customHeight="1">
      <c r="A34" s="231" t="s">
        <v>104</v>
      </c>
      <c r="B34" s="55" t="s">
        <v>35</v>
      </c>
      <c r="C34" s="77">
        <v>120</v>
      </c>
      <c r="D34" s="78">
        <f>VLOOKUP(hop1,hoptabel,2)</f>
        <v>11</v>
      </c>
      <c r="E34" s="79">
        <v>5</v>
      </c>
      <c r="F34" s="52">
        <f>IF(E34="","",IF(C34=0,"  ",IF(E34&gt;Kooktijd,"hop te laat!",IF(B34="PELL",TANH(PI()*(Kooktijd-E34)/120)*0.398*0.000125^(MaischSG/1000-1)*C34*D34*10/Gewenste_liters*1.1,TANH(PI()*(Kooktijd-E34)/120)*0.398*0.000125^(MaischSG/1000-1)*C34*D34*10/Gewenste_liters))))</f>
        <v>24.929151215530297</v>
      </c>
      <c r="G34" s="560" t="s">
        <v>116</v>
      </c>
      <c r="H34" s="550"/>
      <c r="I34" s="550"/>
      <c r="J34" s="78">
        <v>15</v>
      </c>
      <c r="K34" s="257" t="s">
        <v>117</v>
      </c>
      <c r="L34" s="166">
        <v>75</v>
      </c>
      <c r="M34" s="254"/>
      <c r="N34" s="3"/>
      <c r="O34" s="3"/>
      <c r="P34" s="602" t="s">
        <v>81</v>
      </c>
      <c r="Q34" s="605" t="s">
        <v>100</v>
      </c>
      <c r="R34" s="606" t="s">
        <v>82</v>
      </c>
      <c r="S34" s="606"/>
      <c r="T34" s="599" t="s">
        <v>54</v>
      </c>
    </row>
    <row r="35" spans="1:20" ht="10.5" customHeight="1">
      <c r="A35" s="232" t="s">
        <v>113</v>
      </c>
      <c r="B35" s="56" t="s">
        <v>35</v>
      </c>
      <c r="C35" s="80">
        <v>120</v>
      </c>
      <c r="D35" s="81">
        <f>VLOOKUP(hop2,hoptabel,2)</f>
        <v>4.2</v>
      </c>
      <c r="E35" s="82">
        <v>40</v>
      </c>
      <c r="F35" s="53">
        <f>IF(E35="","",IF(C35=0,"  ",IF(E35&gt;Kooktijd,"hop te laat!",IF(B35="PELL",TANH(PI()*(Kooktijd-E35)/120)*0.398*0.000125^(MaischSG/1000-1)*C35*D35*10/Gewenste_liters*1.1,TANH(PI()*(Kooktijd-E35)/120)*0.398*0.000125^(MaischSG/1000-1)*C35*D35*10/Gewenste_liters))))</f>
        <v>8.215316673718176</v>
      </c>
      <c r="G35" s="549" t="s">
        <v>119</v>
      </c>
      <c r="H35" s="550"/>
      <c r="I35" s="550"/>
      <c r="J35" s="421">
        <v>6</v>
      </c>
      <c r="K35" s="258" t="s">
        <v>118</v>
      </c>
      <c r="L35" s="167">
        <v>75</v>
      </c>
      <c r="M35" s="255"/>
      <c r="N35" s="3"/>
      <c r="O35" s="3"/>
      <c r="P35" s="603"/>
      <c r="Q35" s="603"/>
      <c r="R35" s="603"/>
      <c r="S35" s="603"/>
      <c r="T35" s="600"/>
    </row>
    <row r="36" spans="1:20" ht="10.5" customHeight="1">
      <c r="A36" s="231" t="s">
        <v>114</v>
      </c>
      <c r="B36" s="55" t="s">
        <v>35</v>
      </c>
      <c r="C36" s="77">
        <v>75</v>
      </c>
      <c r="D36" s="78">
        <f>VLOOKUP(hop3,hoptabel,2)</f>
        <v>4.5</v>
      </c>
      <c r="E36" s="79">
        <v>60</v>
      </c>
      <c r="F36" s="52">
        <f>IF(E36="","",IF(C36=0,"  ",IF(E36&gt;Kooktijd,"hop te laat!",IF(B36="PELL",TANH(PI()*(Kooktijd-E36)/120)*0.398*0.000125^(MaischSG/1000-1)*C36*D36*10/Gewenste_liters*1.1,TANH(PI()*(Kooktijd-E36)/120)*0.398*0.000125^(MaischSG/1000-1)*C36*D36*10/Gewenste_liters))))</f>
        <v>3.941409302155412</v>
      </c>
      <c r="G36" s="560" t="s">
        <v>120</v>
      </c>
      <c r="H36" s="550"/>
      <c r="I36" s="550"/>
      <c r="J36" s="78">
        <v>2</v>
      </c>
      <c r="K36" s="257" t="s">
        <v>121</v>
      </c>
      <c r="L36" s="166">
        <v>75</v>
      </c>
      <c r="M36" s="254"/>
      <c r="N36" s="3"/>
      <c r="O36" s="3"/>
      <c r="P36" s="604"/>
      <c r="Q36" s="604"/>
      <c r="R36" s="604"/>
      <c r="S36" s="604"/>
      <c r="T36" s="601"/>
    </row>
    <row r="37" spans="1:20" ht="10.5" customHeight="1">
      <c r="A37" s="232" t="s">
        <v>607</v>
      </c>
      <c r="B37" s="56" t="s">
        <v>35</v>
      </c>
      <c r="C37" s="83"/>
      <c r="D37" s="81">
        <f>VLOOKUP(hop4,hoptabel,2)</f>
        <v>8.2</v>
      </c>
      <c r="E37" s="84"/>
      <c r="F37" s="53">
        <f>IF(E37="","",IF(C37=0,"  ",IF(E37&gt;Kooktijd,"hop te laat!",IF(B37="PELL",TANH(PI()*(Kooktijd-E37)/120)*0.398*0.000125^(MaischSG/1000-1)*C37*D37*10/Gewenste_liters*1.1,TANH(PI()*(Kooktijd-E37)/120)*0.398*0.000125^(MaischSG/1000-1)*C37*D37*10/Gewenste_liters))))</f>
      </c>
      <c r="G37" s="549" t="s">
        <v>122</v>
      </c>
      <c r="H37" s="550"/>
      <c r="I37" s="550"/>
      <c r="J37" s="421"/>
      <c r="K37" s="258" t="s">
        <v>147</v>
      </c>
      <c r="L37" s="167"/>
      <c r="M37" s="255"/>
      <c r="N37" s="3"/>
      <c r="O37" s="3"/>
      <c r="P37" s="222"/>
      <c r="Q37" s="86"/>
      <c r="R37" s="223"/>
      <c r="S37" s="106"/>
      <c r="T37" s="228"/>
    </row>
    <row r="38" spans="1:20" ht="10.5" customHeight="1">
      <c r="A38" s="231" t="s">
        <v>102</v>
      </c>
      <c r="B38" s="55" t="s">
        <v>35</v>
      </c>
      <c r="C38" s="77"/>
      <c r="D38" s="81" t="str">
        <f>VLOOKUP(hop5,hoptabel,2)</f>
        <v>vul in</v>
      </c>
      <c r="E38" s="79"/>
      <c r="F38" s="52">
        <f>IF(E38="","",IF(C38=0,"  ",IF(E38&gt;Kooktijd,"hop te laat!",IF(B38="PELL",TANH(PI()*(Kooktijd-E38)/120)*0.398*0.000125^(MaischSG/1000-1)*C38*D38*10/Gewenste_liters*1.1,TANH(PI()*(Kooktijd-E38)/120)*0.398*0.000125^(MaischSG/1000-1)*C38*D38*10/Gewenste_liters))))</f>
      </c>
      <c r="G38" s="560" t="s">
        <v>123</v>
      </c>
      <c r="H38" s="550"/>
      <c r="I38" s="550"/>
      <c r="J38" s="78"/>
      <c r="K38" s="257" t="s">
        <v>147</v>
      </c>
      <c r="L38" s="166"/>
      <c r="M38" s="254"/>
      <c r="N38" s="3"/>
      <c r="O38" s="3"/>
      <c r="P38" s="220" t="s">
        <v>607</v>
      </c>
      <c r="Q38" s="90">
        <v>8.2</v>
      </c>
      <c r="R38" s="223" t="s">
        <v>84</v>
      </c>
      <c r="S38" s="106"/>
      <c r="T38" s="229" t="s">
        <v>608</v>
      </c>
    </row>
    <row r="39" spans="1:20" ht="10.5" customHeight="1">
      <c r="A39" s="168" t="s">
        <v>190</v>
      </c>
      <c r="B39" s="57" t="s">
        <v>36</v>
      </c>
      <c r="C39" s="374"/>
      <c r="D39" s="105">
        <v>6</v>
      </c>
      <c r="E39" s="85" t="s">
        <v>50</v>
      </c>
      <c r="F39" s="54" t="str">
        <f>IF(C39=0,"  ",C39*D39/Gewenste_liters)</f>
        <v>  </v>
      </c>
      <c r="G39" s="549" t="s">
        <v>124</v>
      </c>
      <c r="H39" s="550"/>
      <c r="I39" s="550"/>
      <c r="J39" s="421">
        <v>2</v>
      </c>
      <c r="K39" s="258" t="s">
        <v>681</v>
      </c>
      <c r="L39" s="167">
        <v>75</v>
      </c>
      <c r="M39" s="255"/>
      <c r="N39" s="3"/>
      <c r="O39" s="3"/>
      <c r="P39" s="220" t="s">
        <v>105</v>
      </c>
      <c r="Q39" s="90">
        <v>5.7</v>
      </c>
      <c r="R39" s="223" t="s">
        <v>84</v>
      </c>
      <c r="S39" s="106"/>
      <c r="T39" s="229" t="s">
        <v>86</v>
      </c>
    </row>
    <row r="40" spans="1:20" ht="12" customHeight="1">
      <c r="A40" s="212" t="s">
        <v>37</v>
      </c>
      <c r="B40" s="213">
        <f>SUM(F34:F39)</f>
        <v>37.08587719140389</v>
      </c>
      <c r="C40" s="214"/>
      <c r="D40" s="215"/>
      <c r="E40" s="216" t="s">
        <v>43</v>
      </c>
      <c r="F40" s="217">
        <f>IF(B40="","",B40*Gewenste_liters/(Gewenste_liters+Starter))</f>
        <v>34.2072765875018</v>
      </c>
      <c r="G40" s="585" t="s">
        <v>153</v>
      </c>
      <c r="H40" s="586"/>
      <c r="I40" s="586"/>
      <c r="J40" s="422"/>
      <c r="K40" s="259" t="s">
        <v>117</v>
      </c>
      <c r="L40" s="218"/>
      <c r="M40" s="256"/>
      <c r="N40" s="3"/>
      <c r="O40" s="3"/>
      <c r="P40" s="220" t="s">
        <v>106</v>
      </c>
      <c r="Q40" s="90">
        <v>5.8</v>
      </c>
      <c r="R40" s="223" t="s">
        <v>87</v>
      </c>
      <c r="S40" s="106"/>
      <c r="T40" s="229" t="s">
        <v>97</v>
      </c>
    </row>
    <row r="41" spans="1:20" ht="11.25" customHeight="1">
      <c r="A41" s="172" t="s">
        <v>68</v>
      </c>
      <c r="B41" s="75"/>
      <c r="C41" s="36"/>
      <c r="D41" s="93" t="s">
        <v>67</v>
      </c>
      <c r="E41" s="204">
        <v>5.2</v>
      </c>
      <c r="F41" s="37"/>
      <c r="G41" s="205">
        <f>VLOOKUP(HoofdGist,gisttabel,4)</f>
        <v>21</v>
      </c>
      <c r="H41" s="75" t="s">
        <v>76</v>
      </c>
      <c r="L41" s="93" t="s">
        <v>77</v>
      </c>
      <c r="M41" s="206"/>
      <c r="N41" s="3"/>
      <c r="O41" s="3"/>
      <c r="P41" s="220" t="s">
        <v>107</v>
      </c>
      <c r="Q41" s="90">
        <v>7.3</v>
      </c>
      <c r="R41" s="223" t="s">
        <v>84</v>
      </c>
      <c r="S41" s="106"/>
      <c r="T41" s="229" t="s">
        <v>85</v>
      </c>
    </row>
    <row r="42" spans="1:21" ht="11.25" customHeight="1">
      <c r="A42" s="197" t="s">
        <v>78</v>
      </c>
      <c r="B42" s="148"/>
      <c r="C42" s="417" t="s">
        <v>60</v>
      </c>
      <c r="D42" s="418"/>
      <c r="E42" s="419" t="s">
        <v>61</v>
      </c>
      <c r="F42" s="420"/>
      <c r="G42" s="134"/>
      <c r="H42" s="150">
        <f>IF($M$17="N",0,Starter)</f>
        <v>8.415170370370369</v>
      </c>
      <c r="I42" s="587">
        <f>IF(Stamwort="","",(((ToegevLiter*12.4*1.05)+(StamSG/1000*Stamplato*Bekomenliter))/(Bekomenliter+ToegevLiter)/(StamSG/1000)))</f>
        <v>21.83035038988784</v>
      </c>
      <c r="J42" s="588"/>
      <c r="K42" s="151">
        <f>IF(Stamwort="","",1+(gistmetstamplato/(258.6-0.87955*gistmetstamplato)))</f>
        <v>1.0911880996769867</v>
      </c>
      <c r="L42" s="152">
        <f>IF(gistmetstamplato="","",IF(Eindcijfer="","",0.1808*gistmetstamplato+0.8192*Eindplato))</f>
        <v>6.693911117048852</v>
      </c>
      <c r="M42" s="153">
        <f>IF(gistmetstamplato="","",IF(Eindcijfer="","",(gistmetstamplato-Restextract)/(2.0665-0.010665*gistmetstamplato)))</f>
        <v>8.254681810919697</v>
      </c>
      <c r="N42" s="3"/>
      <c r="O42" s="3"/>
      <c r="P42" s="220" t="s">
        <v>112</v>
      </c>
      <c r="Q42" s="86">
        <v>4.7</v>
      </c>
      <c r="R42" s="223" t="s">
        <v>87</v>
      </c>
      <c r="S42" s="106"/>
      <c r="T42" s="229" t="s">
        <v>88</v>
      </c>
      <c r="U42" s="104"/>
    </row>
    <row r="43" spans="1:20" ht="11.25" customHeight="1">
      <c r="A43" s="109" t="s">
        <v>45</v>
      </c>
      <c r="B43" s="111" t="s">
        <v>675</v>
      </c>
      <c r="C43" s="50">
        <v>1095</v>
      </c>
      <c r="D43" s="76">
        <f>IF(Stamwort="","SG",IF(meter="S.G.",Stamwort,IF(meter="°Plato",259/(259.12955-Stamwort)*1000,IF(meter="°Brix",259/(259.12955-Stamplato)*1000))))</f>
        <v>1095</v>
      </c>
      <c r="E43" s="545">
        <f>IF(Stamwort="","°Plato",IF(meter="°Plato",Stamwort,IF(meter="S.G.",(259*Stamwort/1000-259)/(Stamwort/1000-0.0089),IF(meter="°Brix",Stamwort/Brixratio))))</f>
        <v>22.654451707945878</v>
      </c>
      <c r="F43" s="546"/>
      <c r="G43" s="547">
        <f>IF(Stamwort="","°Brix",IF(meter="°Brix",Stamwort,IF(meter="°Plato",Stamwort*Brixratio,IF(meter="S.G.",Stamplato*Brixratio))))</f>
        <v>23.327658925431276</v>
      </c>
      <c r="H43" s="548"/>
      <c r="I43" s="154"/>
      <c r="J43" s="154"/>
      <c r="K43" s="149"/>
      <c r="L43" s="155" t="s">
        <v>59</v>
      </c>
      <c r="M43" s="113">
        <f>J27</f>
        <v>101.49999999999999</v>
      </c>
      <c r="N43" s="3"/>
      <c r="O43" s="3"/>
      <c r="P43" s="220" t="s">
        <v>113</v>
      </c>
      <c r="Q43" s="90">
        <v>4.2</v>
      </c>
      <c r="R43" s="223" t="s">
        <v>87</v>
      </c>
      <c r="S43" s="106"/>
      <c r="T43" s="229" t="s">
        <v>89</v>
      </c>
    </row>
    <row r="44" spans="1:20" ht="10.5" customHeight="1">
      <c r="A44" s="156"/>
      <c r="B44" s="157"/>
      <c r="C44" s="158" t="s">
        <v>63</v>
      </c>
      <c r="D44" s="112"/>
      <c r="G44" s="110" t="s">
        <v>65</v>
      </c>
      <c r="H44" s="200"/>
      <c r="I44" s="136"/>
      <c r="J44" s="158"/>
      <c r="K44" s="158" t="s">
        <v>64</v>
      </c>
      <c r="L44" s="551"/>
      <c r="M44" s="552"/>
      <c r="N44" s="3"/>
      <c r="O44" s="3"/>
      <c r="P44" s="220" t="s">
        <v>114</v>
      </c>
      <c r="Q44" s="90">
        <v>4.5</v>
      </c>
      <c r="R44" s="223" t="s">
        <v>87</v>
      </c>
      <c r="S44" s="106"/>
      <c r="T44" s="229" t="s">
        <v>90</v>
      </c>
    </row>
    <row r="45" spans="1:20" ht="12" customHeight="1">
      <c r="A45" s="197" t="s">
        <v>79</v>
      </c>
      <c r="B45" s="136"/>
      <c r="C45" s="143" t="s">
        <v>60</v>
      </c>
      <c r="E45" s="108"/>
      <c r="F45" s="198" t="s">
        <v>80</v>
      </c>
      <c r="J45" s="122">
        <f>IF(ISNUMBER(alconalager),12-(alconalager*100/1.97),"")</f>
        <v>6.6540726294533545</v>
      </c>
      <c r="L45" s="122">
        <f>IF(alconalager="","",IF(kleur&gt;107,6,((35000-(kleur^2))/3888)))</f>
        <v>7.5376977650291295</v>
      </c>
      <c r="N45" s="3"/>
      <c r="O45" s="3"/>
      <c r="P45" s="220" t="s">
        <v>108</v>
      </c>
      <c r="Q45" s="90">
        <v>6.3</v>
      </c>
      <c r="R45" s="223" t="s">
        <v>84</v>
      </c>
      <c r="S45" s="106"/>
      <c r="T45" s="229" t="s">
        <v>91</v>
      </c>
    </row>
    <row r="46" spans="1:20" ht="11.25" customHeight="1">
      <c r="A46" s="109" t="s">
        <v>62</v>
      </c>
      <c r="B46" s="111" t="s">
        <v>675</v>
      </c>
      <c r="C46" s="50">
        <v>1013</v>
      </c>
      <c r="D46" s="76">
        <f>IF(Eindcijfer="","SG",IF(meternadien="S.G.",Eindcijfer,IF(meternadien="°Plato",259/(259.12955-Eindcijfer)*1000)))</f>
        <v>1013</v>
      </c>
      <c r="E46" s="545">
        <f>IF(Eindcijfer="","°Plato",IF(meternadien="°Plato",Eindcijfer,IF(meternadien="S.G.",(259*Eindcijfer/1000-259)/(Eindcijfer/1000-0.0089))))</f>
        <v>3.3532516681605604</v>
      </c>
      <c r="F46" s="546"/>
      <c r="G46" s="539">
        <f>IF(alcogewicht="","",IF(Eindcijfer="","",IF(Bekomenliter="","",EindSG/1000*alcogewicht/0.794/100)))</f>
        <v>0.10531476919976891</v>
      </c>
      <c r="H46" s="532" t="s">
        <v>637</v>
      </c>
      <c r="I46"/>
      <c r="L46" s="115" t="s">
        <v>66</v>
      </c>
      <c r="M46" s="114">
        <f>IF(Totaalkg=0,"",IF(Bekomenliter="","",IF(Stamwort="","",StamSG/1000*Bekomenliter*Stamplato/(Totaalkg)/100)))</f>
        <v>0.6945854893656205</v>
      </c>
      <c r="N46" s="3"/>
      <c r="O46" s="3"/>
      <c r="P46" s="220" t="s">
        <v>109</v>
      </c>
      <c r="Q46" s="90">
        <v>12</v>
      </c>
      <c r="R46" s="223" t="s">
        <v>92</v>
      </c>
      <c r="S46" s="106"/>
      <c r="T46" s="229" t="s">
        <v>93</v>
      </c>
    </row>
    <row r="47" spans="1:20" ht="11.25" customHeight="1">
      <c r="A47" s="118" t="s">
        <v>69</v>
      </c>
      <c r="B47" s="117">
        <f>IF(Stamwort="","",IF(Eindcijfer="","",((StamSG-EindSG)/(StamSG-1000))))</f>
        <v>0.8631578947368421</v>
      </c>
      <c r="C47" s="119" t="s">
        <v>70</v>
      </c>
      <c r="E47" s="116"/>
      <c r="F47" s="117">
        <f>IF(Eindcijfer="","",IF(gistmetstamplato="","",(gistmetstamplato-Restextract)/gistmetstamplato))</f>
        <v>0.6933667578625042</v>
      </c>
      <c r="I47" s="121">
        <f>IF(Eindcijfer="","",IF(nietvergist&gt;6,"Opgelet ! &gt;&gt;",IF(nietvergist&gt;5,"zie na: &gt;&gt;","")))</f>
      </c>
      <c r="L47" s="120" t="str">
        <f>IF(nietvergist="","","Mogelijks niet vergist suiker&gt;")</f>
        <v>Mogelijks niet vergist suiker&gt;</v>
      </c>
      <c r="M47" s="243">
        <f>IF(Stamwort="","",IF(Eindcijfer="","",IF(((Eindplato-voorsp_eindplato)*8.1-2)&lt;0,0,(Eindplato-voorsp_eindplato)*8.1-2)))</f>
        <v>0</v>
      </c>
      <c r="N47" s="3"/>
      <c r="O47" s="3"/>
      <c r="P47" s="220" t="s">
        <v>115</v>
      </c>
      <c r="Q47" s="86">
        <v>8.5</v>
      </c>
      <c r="R47" s="223" t="s">
        <v>92</v>
      </c>
      <c r="S47" s="106"/>
      <c r="T47" s="229" t="s">
        <v>94</v>
      </c>
    </row>
    <row r="48" spans="1:20" ht="10.5" customHeight="1">
      <c r="A48" s="123" t="s">
        <v>71</v>
      </c>
      <c r="B48" s="480">
        <f>IF($G$49="J",$L$49,IF(alconalager="","",IF(kleur&gt;50,botsuikervlgskleur,botsuikervlgsalco)))</f>
        <v>7.5376977650291295</v>
      </c>
      <c r="D48" s="241" t="s">
        <v>125</v>
      </c>
      <c r="E48" s="239"/>
      <c r="F48"/>
      <c r="G48" s="326" t="s">
        <v>126</v>
      </c>
      <c r="H48" s="240"/>
      <c r="I48" s="121"/>
      <c r="K48" s="242" t="s">
        <v>127</v>
      </c>
      <c r="L48" s="543" t="s">
        <v>568</v>
      </c>
      <c r="M48" s="544"/>
      <c r="N48" s="3"/>
      <c r="O48" s="3"/>
      <c r="P48" s="220" t="s">
        <v>110</v>
      </c>
      <c r="Q48" s="90">
        <v>3.2</v>
      </c>
      <c r="R48" s="223" t="s">
        <v>87</v>
      </c>
      <c r="S48" s="106"/>
      <c r="T48" s="229" t="s">
        <v>95</v>
      </c>
    </row>
    <row r="49" spans="1:20" ht="11.25" customHeight="1">
      <c r="A49" s="425" t="s">
        <v>574</v>
      </c>
      <c r="B49" s="541" t="s">
        <v>15</v>
      </c>
      <c r="C49" s="542"/>
      <c r="F49" s="115" t="s">
        <v>590</v>
      </c>
      <c r="G49" s="329" t="s">
        <v>573</v>
      </c>
      <c r="K49" s="116" t="s">
        <v>591</v>
      </c>
      <c r="L49" s="497">
        <v>8</v>
      </c>
      <c r="N49" s="3"/>
      <c r="O49" s="3"/>
      <c r="P49" s="221" t="s">
        <v>111</v>
      </c>
      <c r="Q49" s="88">
        <v>4.4</v>
      </c>
      <c r="R49" s="224" t="s">
        <v>87</v>
      </c>
      <c r="S49" s="107"/>
      <c r="T49" s="230" t="s">
        <v>96</v>
      </c>
    </row>
    <row r="50" spans="1:20" ht="12" customHeight="1">
      <c r="A50" s="498" t="s">
        <v>592</v>
      </c>
      <c r="B50" s="466">
        <f>IF(Eindcijfer="","",IF(suikersoort="Kristalsuiker",adviessuiker,IF(suikersoort="Dextrose",adviessuiker/0.93,adviessuiker/0.975)))</f>
        <v>7.5376977650291295</v>
      </c>
      <c r="C50" s="236" t="s">
        <v>72</v>
      </c>
      <c r="D50" s="237">
        <f>IF(adviessuiker="","",suikergift*Bekomenliter)</f>
        <v>765.0763231504566</v>
      </c>
      <c r="G50" s="238"/>
      <c r="H50" s="238"/>
      <c r="I50" s="346" t="str">
        <f>IF(Eindcijfer="","",IF(suikergift=corsuiker,"Suikergift blijft dezelfde: ","Indien restsuiker verder kan uitgisten:"))</f>
        <v>Suikergift blijft dezelfde: </v>
      </c>
      <c r="J50" s="235">
        <f>IF(Eindcijfer="","",IF(adviessuiker-nietvergist&lt;0,"GEEN",suikergift-nietvergist))</f>
        <v>7.5376977650291295</v>
      </c>
      <c r="K50" s="496"/>
      <c r="L50" s="465" t="s">
        <v>73</v>
      </c>
      <c r="M50" s="464">
        <f>IF(Eindcijfer="","",IF(adviessuiker-nietvergist&lt;0,"",(suikergift-nietvergist)*Bekomenliter))</f>
        <v>765.0763231504566</v>
      </c>
      <c r="N50" s="3"/>
      <c r="O50" s="3"/>
      <c r="P50" s="220" t="s">
        <v>104</v>
      </c>
      <c r="Q50" s="90">
        <v>11</v>
      </c>
      <c r="R50" s="225" t="s">
        <v>92</v>
      </c>
      <c r="S50" s="106"/>
      <c r="T50" s="229" t="s">
        <v>98</v>
      </c>
    </row>
    <row r="51" spans="1:20" s="19" customFormat="1" ht="13.5" customHeight="1">
      <c r="A51" s="487" t="s">
        <v>638</v>
      </c>
      <c r="B51" s="533">
        <f>IF(ISNUMBER(alconalager),alconalager+(adviessuiker/16.5/100),"")</f>
        <v>0.10988307087554414</v>
      </c>
      <c r="C51" s="488"/>
      <c r="D51" s="489" t="s">
        <v>593</v>
      </c>
      <c r="E51" s="623">
        <f>IF($B$51="","",IF(botdatum="","",IF($B$51*100&lt;5,((($B$51*100)-5)*30)+215+botdatum,((($B$51*100)-5)*130)+215+botdatum)))</f>
      </c>
      <c r="F51" s="624"/>
      <c r="G51" s="490" t="s">
        <v>132</v>
      </c>
      <c r="H51" s="490"/>
      <c r="I51" s="491"/>
      <c r="J51" s="491"/>
      <c r="K51" s="491"/>
      <c r="L51" s="491"/>
      <c r="M51" s="492"/>
      <c r="N51" s="325"/>
      <c r="O51" s="244"/>
      <c r="P51" s="220" t="s">
        <v>102</v>
      </c>
      <c r="Q51" s="234" t="s">
        <v>83</v>
      </c>
      <c r="R51" s="223" t="s">
        <v>103</v>
      </c>
      <c r="S51" s="233"/>
      <c r="T51" s="229"/>
    </row>
    <row r="52" spans="1:15" s="19" customFormat="1" ht="12" customHeight="1">
      <c r="A52" s="505" t="s">
        <v>600</v>
      </c>
      <c r="B52" s="506"/>
      <c r="C52" s="506"/>
      <c r="D52" s="506"/>
      <c r="E52" s="507">
        <f>IF(moutkilos=0,"",moutkilos+mashwater)</f>
        <v>156.18482146666668</v>
      </c>
      <c r="F52" s="517" t="s">
        <v>616</v>
      </c>
      <c r="H52" s="502"/>
      <c r="I52" s="502"/>
      <c r="J52" s="502"/>
      <c r="K52" s="502"/>
      <c r="L52" s="502"/>
      <c r="M52" s="502"/>
      <c r="N52" s="325"/>
      <c r="O52" s="244"/>
    </row>
    <row r="53" spans="1:14" s="19" customFormat="1" ht="13.5" customHeight="1">
      <c r="A53" s="534" t="s">
        <v>667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325"/>
    </row>
    <row r="54" spans="1:20" s="19" customFormat="1" ht="12.75" customHeight="1">
      <c r="A54" s="502" t="s">
        <v>679</v>
      </c>
      <c r="B54" s="502" t="s">
        <v>680</v>
      </c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324"/>
      <c r="P54" s="425" t="s">
        <v>416</v>
      </c>
      <c r="Q54" s="424">
        <v>100</v>
      </c>
      <c r="R54" s="426" t="s">
        <v>418</v>
      </c>
      <c r="S54" s="136"/>
      <c r="T54" s="136"/>
    </row>
    <row r="55" spans="1:20" s="19" customFormat="1" ht="12" customHeight="1">
      <c r="A55" s="502" t="s">
        <v>682</v>
      </c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323"/>
      <c r="P55" s="423" t="s">
        <v>417</v>
      </c>
      <c r="Q55" s="424">
        <v>17</v>
      </c>
      <c r="R55" s="427" t="s">
        <v>423</v>
      </c>
      <c r="S55" s="428">
        <f>verkookpercent*Gewenste_liters*1.18*Kooktijd/60/100</f>
        <v>28.938154799999992</v>
      </c>
      <c r="T55" s="429" t="s">
        <v>419</v>
      </c>
    </row>
    <row r="56" spans="1:20" s="19" customFormat="1" ht="10.5" customHeight="1">
      <c r="A56" s="540" t="s">
        <v>683</v>
      </c>
      <c r="B56" s="502"/>
      <c r="C56" s="531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323"/>
      <c r="P56" s="1"/>
      <c r="Q56" s="120" t="s">
        <v>420</v>
      </c>
      <c r="R56" s="428">
        <f>verkookpercent*Gewenste_liters*1.18/100*7/6</f>
        <v>23.403333333333332</v>
      </c>
      <c r="S56" s="428">
        <f>$S$55-$R$56</f>
        <v>5.53482146666666</v>
      </c>
      <c r="T56" s="429" t="s">
        <v>422</v>
      </c>
    </row>
    <row r="57" spans="1:14" s="19" customFormat="1" ht="10.5" customHeight="1">
      <c r="A57" s="502" t="s">
        <v>684</v>
      </c>
      <c r="B57" s="502"/>
      <c r="C57" s="530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323"/>
    </row>
    <row r="58" spans="1:17" s="19" customFormat="1" ht="12" customHeight="1">
      <c r="A58" s="502" t="s">
        <v>685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323"/>
      <c r="P58" s="416" t="s">
        <v>424</v>
      </c>
      <c r="Q58" s="1"/>
    </row>
    <row r="59" spans="1:17" s="19" customFormat="1" ht="10.5" customHeight="1">
      <c r="A59" s="502"/>
      <c r="B59" s="502"/>
      <c r="C59" s="502"/>
      <c r="D59" s="502"/>
      <c r="E59"/>
      <c r="F59" s="502"/>
      <c r="G59"/>
      <c r="H59" s="502"/>
      <c r="I59" s="502"/>
      <c r="J59" s="502"/>
      <c r="K59" s="502"/>
      <c r="L59" s="502"/>
      <c r="M59" s="502"/>
      <c r="N59" s="323"/>
      <c r="P59" s="19" t="s">
        <v>414</v>
      </c>
      <c r="Q59" s="1"/>
    </row>
    <row r="60" spans="1:16" s="19" customFormat="1" ht="10.5" customHeight="1">
      <c r="A60" s="502" t="s">
        <v>666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323"/>
      <c r="P60" s="19" t="s">
        <v>411</v>
      </c>
    </row>
    <row r="61" spans="1:16" s="19" customFormat="1" ht="10.5" customHeight="1">
      <c r="A61" s="502" t="s">
        <v>176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323"/>
      <c r="P61" s="19" t="s">
        <v>412</v>
      </c>
    </row>
    <row r="62" spans="1:16" s="19" customFormat="1" ht="10.5" customHeight="1">
      <c r="A62" s="502" t="s">
        <v>129</v>
      </c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323"/>
      <c r="P62" s="19" t="s">
        <v>413</v>
      </c>
    </row>
    <row r="63" spans="1:16" s="19" customFormat="1" ht="10.5" customHeight="1">
      <c r="A63" s="502" t="s">
        <v>130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323"/>
      <c r="P63" s="19" t="s">
        <v>415</v>
      </c>
    </row>
    <row r="64" spans="1:16" s="19" customFormat="1" ht="10.5" customHeight="1">
      <c r="A64" s="502" t="s">
        <v>128</v>
      </c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323"/>
      <c r="P64" s="19" t="s">
        <v>421</v>
      </c>
    </row>
    <row r="65" spans="1:16" s="19" customFormat="1" ht="10.5" customHeight="1">
      <c r="A65" s="502" t="s">
        <v>131</v>
      </c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323"/>
      <c r="P65" s="19" t="s">
        <v>584</v>
      </c>
    </row>
    <row r="66" spans="1:16" s="19" customFormat="1" ht="10.5" customHeight="1">
      <c r="A66" s="502"/>
      <c r="B66" s="502"/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323"/>
      <c r="P66" s="19" t="s">
        <v>583</v>
      </c>
    </row>
    <row r="67" spans="1:16" s="19" customFormat="1" ht="10.5" customHeight="1">
      <c r="A67" s="245" t="s">
        <v>133</v>
      </c>
      <c r="B67" s="245"/>
      <c r="C67" s="245" t="s">
        <v>137</v>
      </c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P67" s="19" t="s">
        <v>582</v>
      </c>
    </row>
    <row r="68" spans="1:16" s="19" customFormat="1" ht="9.75" customHeight="1">
      <c r="A68" s="264"/>
      <c r="B68" s="245"/>
      <c r="C68" s="245"/>
      <c r="D68" s="246"/>
      <c r="E68" s="246"/>
      <c r="F68" s="246"/>
      <c r="G68" s="246"/>
      <c r="H68" s="250"/>
      <c r="I68" s="265"/>
      <c r="J68" s="265"/>
      <c r="K68" s="266"/>
      <c r="L68" s="246"/>
      <c r="M68" s="246"/>
      <c r="N68" s="246"/>
      <c r="P68" s="486" t="s">
        <v>587</v>
      </c>
    </row>
    <row r="69" spans="1:16" s="19" customFormat="1" ht="11.25" customHeight="1">
      <c r="A69" s="247" t="s">
        <v>135</v>
      </c>
      <c r="B69" s="246"/>
      <c r="C69" s="246"/>
      <c r="D69" s="322">
        <v>30</v>
      </c>
      <c r="E69" s="246"/>
      <c r="F69" s="246"/>
      <c r="G69" s="248" t="s">
        <v>134</v>
      </c>
      <c r="H69" s="582" t="str">
        <f>REPT(A1,1)</f>
        <v>7-RocheLoo</v>
      </c>
      <c r="I69" s="582"/>
      <c r="J69" s="582"/>
      <c r="K69" s="583"/>
      <c r="L69" s="251"/>
      <c r="M69" s="246"/>
      <c r="N69" s="246"/>
      <c r="P69" s="246" t="s">
        <v>588</v>
      </c>
    </row>
    <row r="70" spans="1:16" s="19" customFormat="1" ht="9" customHeight="1">
      <c r="A70" s="269"/>
      <c r="B70" s="269"/>
      <c r="C70" s="269"/>
      <c r="D70" s="269"/>
      <c r="E70" s="269"/>
      <c r="F70" s="269"/>
      <c r="G70" s="269"/>
      <c r="H70" s="270"/>
      <c r="I70" s="270"/>
      <c r="J70" s="270"/>
      <c r="K70" s="271"/>
      <c r="L70" s="246"/>
      <c r="M70" s="246"/>
      <c r="N70" s="246"/>
      <c r="P70" s="19" t="s">
        <v>596</v>
      </c>
    </row>
    <row r="71" spans="1:16" s="19" customFormat="1" ht="10.5" customHeight="1">
      <c r="A71" s="272" t="s">
        <v>161</v>
      </c>
      <c r="B71" s="273" t="str">
        <f>REPT(HoofdGist,1)</f>
        <v>KweekRochefort10(FL)</v>
      </c>
      <c r="C71" s="274"/>
      <c r="D71" s="274"/>
      <c r="E71" s="275"/>
      <c r="F71" s="272" t="s">
        <v>162</v>
      </c>
      <c r="G71" s="276" t="str">
        <f>L48</f>
        <v>Korrel Nottingham</v>
      </c>
      <c r="H71" s="270"/>
      <c r="I71" s="270"/>
      <c r="J71" s="270"/>
      <c r="K71" s="271"/>
      <c r="L71" s="250"/>
      <c r="M71" s="246"/>
      <c r="N71" s="246"/>
      <c r="P71" s="19" t="s">
        <v>597</v>
      </c>
    </row>
    <row r="72" spans="1:16" s="19" customFormat="1" ht="13.5">
      <c r="A72" s="277" t="s">
        <v>139</v>
      </c>
      <c r="B72" s="278"/>
      <c r="C72" s="279" t="s">
        <v>140</v>
      </c>
      <c r="D72" s="280"/>
      <c r="E72" s="280"/>
      <c r="F72" s="280"/>
      <c r="G72" s="280"/>
      <c r="H72" s="280"/>
      <c r="I72" s="280"/>
      <c r="J72" s="278"/>
      <c r="K72" s="271"/>
      <c r="L72" s="246"/>
      <c r="M72" s="246"/>
      <c r="N72" s="246"/>
      <c r="P72" s="500" t="s">
        <v>598</v>
      </c>
    </row>
    <row r="73" spans="1:16" s="19" customFormat="1" ht="10.5" customHeight="1">
      <c r="A73" s="281" t="str">
        <f aca="true" t="shared" si="4" ref="A73:A78">IF(D5="","",REPT(A5,1))</f>
        <v>Pilsmout</v>
      </c>
      <c r="B73" s="282">
        <f aca="true" t="shared" si="5" ref="B73:B78">IF(D5="","",D5/Gewenste_liters*$D$69)</f>
        <v>7.5</v>
      </c>
      <c r="C73" s="283" t="s">
        <v>141</v>
      </c>
      <c r="D73" s="283"/>
      <c r="E73" s="283"/>
      <c r="F73" s="284" t="s">
        <v>142</v>
      </c>
      <c r="G73" s="143" t="s">
        <v>144</v>
      </c>
      <c r="H73" s="285" t="s">
        <v>143</v>
      </c>
      <c r="I73" s="270"/>
      <c r="J73" s="286" t="s">
        <v>156</v>
      </c>
      <c r="K73" s="271"/>
      <c r="L73" s="246"/>
      <c r="M73" s="246"/>
      <c r="N73" s="246"/>
      <c r="P73" s="19" t="s">
        <v>602</v>
      </c>
    </row>
    <row r="74" spans="1:16" s="19" customFormat="1" ht="10.5" customHeight="1">
      <c r="A74" s="281" t="str">
        <f t="shared" si="4"/>
        <v>Palemout</v>
      </c>
      <c r="B74" s="282">
        <f t="shared" si="5"/>
        <v>0.6</v>
      </c>
      <c r="C74" s="270" t="str">
        <f aca="true" t="shared" si="6" ref="C74:C79">IF(C34="","",REPT(A34,1))</f>
        <v>Target (bitter)</v>
      </c>
      <c r="D74" s="270"/>
      <c r="E74" s="270"/>
      <c r="F74" s="284">
        <f aca="true" t="shared" si="7" ref="F74:F79">IF(ISNUMBER(G74),D34,"")</f>
        <v>11</v>
      </c>
      <c r="G74" s="287">
        <f aca="true" t="shared" si="8" ref="G74:G79">IF(C34="","",C34/Gewenste_liters*altliters)</f>
        <v>36</v>
      </c>
      <c r="H74" s="288">
        <f>IF(ISNUMBER(G74),Kooktijd-E34,"")</f>
        <v>81.55479999999999</v>
      </c>
      <c r="I74" s="270"/>
      <c r="J74" s="289">
        <f aca="true" t="shared" si="9" ref="J74:J79">IF(ISNUMBER(G74),F34,"")</f>
        <v>24.929151215530297</v>
      </c>
      <c r="K74" s="271"/>
      <c r="L74" s="246"/>
      <c r="M74" s="246"/>
      <c r="N74" s="246"/>
      <c r="P74" s="19" t="s">
        <v>606</v>
      </c>
    </row>
    <row r="75" spans="1:16" s="19" customFormat="1" ht="10.5" customHeight="1">
      <c r="A75" s="281">
        <f t="shared" si="4"/>
      </c>
      <c r="B75" s="282">
        <f t="shared" si="5"/>
      </c>
      <c r="C75" s="270" t="str">
        <f t="shared" si="6"/>
        <v>Fuggles (aroma)</v>
      </c>
      <c r="D75" s="270"/>
      <c r="E75" s="270"/>
      <c r="F75" s="284">
        <f t="shared" si="7"/>
        <v>4.2</v>
      </c>
      <c r="G75" s="287">
        <f t="shared" si="8"/>
        <v>36</v>
      </c>
      <c r="H75" s="288">
        <f>IF(ISNUMBER(G75),Kooktijd-E35,"")</f>
        <v>46.554799999999986</v>
      </c>
      <c r="I75" s="270"/>
      <c r="J75" s="289">
        <f t="shared" si="9"/>
        <v>8.215316673718176</v>
      </c>
      <c r="K75" s="271"/>
      <c r="L75" s="246"/>
      <c r="M75" s="246"/>
      <c r="N75" s="246"/>
      <c r="P75" s="19" t="s">
        <v>614</v>
      </c>
    </row>
    <row r="76" spans="1:16" s="19" customFormat="1" ht="10.5" customHeight="1">
      <c r="A76" s="281">
        <f t="shared" si="4"/>
      </c>
      <c r="B76" s="282">
        <f t="shared" si="5"/>
      </c>
      <c r="C76" s="270" t="str">
        <f t="shared" si="6"/>
        <v>Hallertau Mittelfrüh (aroma)</v>
      </c>
      <c r="D76" s="270"/>
      <c r="E76" s="270"/>
      <c r="F76" s="284">
        <f t="shared" si="7"/>
        <v>4.5</v>
      </c>
      <c r="G76" s="287">
        <f t="shared" si="8"/>
        <v>22.5</v>
      </c>
      <c r="H76" s="288">
        <f>IF(ISNUMBER(G76),Kooktijd-E36,"")</f>
        <v>26.554799999999986</v>
      </c>
      <c r="I76" s="270"/>
      <c r="J76" s="289">
        <f t="shared" si="9"/>
        <v>3.941409302155412</v>
      </c>
      <c r="K76" s="271"/>
      <c r="L76" s="246"/>
      <c r="M76" s="246"/>
      <c r="N76" s="246"/>
      <c r="P76" s="19" t="s">
        <v>615</v>
      </c>
    </row>
    <row r="77" spans="1:16" s="19" customFormat="1" ht="10.5" customHeight="1">
      <c r="A77" s="281">
        <f t="shared" si="4"/>
      </c>
      <c r="B77" s="282">
        <f t="shared" si="5"/>
      </c>
      <c r="C77" s="270">
        <f t="shared" si="6"/>
      </c>
      <c r="D77" s="270"/>
      <c r="E77" s="270"/>
      <c r="F77" s="284">
        <f t="shared" si="7"/>
      </c>
      <c r="G77" s="287">
        <f t="shared" si="8"/>
      </c>
      <c r="H77" s="288">
        <f>IF(ISNUMBER(G77),Kooktijd-E37,"")</f>
      </c>
      <c r="I77" s="270"/>
      <c r="J77" s="289">
        <f t="shared" si="9"/>
      </c>
      <c r="K77" s="271"/>
      <c r="L77" s="246"/>
      <c r="M77" s="246"/>
      <c r="N77" s="246"/>
      <c r="P77" s="19" t="s">
        <v>617</v>
      </c>
    </row>
    <row r="78" spans="1:16" s="19" customFormat="1" ht="10.5" customHeight="1">
      <c r="A78" s="281">
        <f t="shared" si="4"/>
      </c>
      <c r="B78" s="282">
        <f t="shared" si="5"/>
      </c>
      <c r="C78" s="270">
        <f t="shared" si="6"/>
      </c>
      <c r="D78" s="270"/>
      <c r="E78" s="270"/>
      <c r="F78" s="284">
        <f t="shared" si="7"/>
      </c>
      <c r="G78" s="287">
        <f t="shared" si="8"/>
      </c>
      <c r="H78" s="288">
        <f>IF(ISNUMBER(G78),Kooktijd-E38,"")</f>
      </c>
      <c r="I78" s="270"/>
      <c r="J78" s="289">
        <f t="shared" si="9"/>
      </c>
      <c r="K78" s="269"/>
      <c r="L78" s="246"/>
      <c r="M78" s="246"/>
      <c r="N78" s="246"/>
      <c r="P78" s="19" t="s">
        <v>618</v>
      </c>
    </row>
    <row r="79" spans="1:16" s="19" customFormat="1" ht="10.5" customHeight="1">
      <c r="A79" s="281" t="str">
        <f aca="true" t="shared" si="10" ref="A79:A89">IF(D11="","",REPT(A11,1))</f>
        <v>Munchener</v>
      </c>
      <c r="B79" s="282">
        <f aca="true" t="shared" si="11" ref="B79:B90">IF(D11="","",D11/Gewenste_liters*$D$69)</f>
        <v>0.75</v>
      </c>
      <c r="C79" s="270">
        <f t="shared" si="6"/>
      </c>
      <c r="D79" s="270"/>
      <c r="E79" s="270"/>
      <c r="F79" s="284">
        <f t="shared" si="7"/>
      </c>
      <c r="G79" s="287">
        <f t="shared" si="8"/>
      </c>
      <c r="H79" s="290" t="s">
        <v>36</v>
      </c>
      <c r="I79" s="270"/>
      <c r="J79" s="289">
        <f t="shared" si="9"/>
      </c>
      <c r="K79" s="269"/>
      <c r="L79" s="246"/>
      <c r="M79" s="246"/>
      <c r="N79" s="246"/>
      <c r="P79" s="19" t="s">
        <v>670</v>
      </c>
    </row>
    <row r="80" spans="1:16" s="19" customFormat="1" ht="10.5" customHeight="1">
      <c r="A80" s="281" t="str">
        <f t="shared" si="10"/>
        <v>Amber (Aroma 50)</v>
      </c>
      <c r="B80" s="282">
        <f t="shared" si="11"/>
        <v>0.3</v>
      </c>
      <c r="C80" s="283" t="s">
        <v>157</v>
      </c>
      <c r="D80" s="291">
        <f>SUM(J74:J79)</f>
        <v>37.08587719140389</v>
      </c>
      <c r="E80" s="283"/>
      <c r="F80" s="283"/>
      <c r="G80" s="143"/>
      <c r="H80" s="292"/>
      <c r="I80" s="292"/>
      <c r="J80" s="293"/>
      <c r="K80" s="292"/>
      <c r="P80" s="19" t="s">
        <v>624</v>
      </c>
    </row>
    <row r="81" spans="1:16" s="19" customFormat="1" ht="10.5" customHeight="1">
      <c r="A81" s="281" t="str">
        <f t="shared" si="10"/>
        <v>Cara 120</v>
      </c>
      <c r="B81" s="282">
        <f t="shared" si="11"/>
        <v>0.22499999999999998</v>
      </c>
      <c r="C81" s="294"/>
      <c r="D81" s="294"/>
      <c r="E81" s="294"/>
      <c r="F81" s="294"/>
      <c r="G81" s="294"/>
      <c r="H81" s="292"/>
      <c r="I81" s="143" t="s">
        <v>158</v>
      </c>
      <c r="J81" s="295">
        <f>F40</f>
        <v>34.2072765875018</v>
      </c>
      <c r="K81" s="292"/>
      <c r="P81" s="19" t="s">
        <v>625</v>
      </c>
    </row>
    <row r="82" spans="1:16" s="19" customFormat="1" ht="10.5" customHeight="1">
      <c r="A82" s="281" t="str">
        <f t="shared" si="10"/>
        <v>Special B</v>
      </c>
      <c r="B82" s="296">
        <f t="shared" si="11"/>
        <v>0.3</v>
      </c>
      <c r="C82" s="297" t="s">
        <v>145</v>
      </c>
      <c r="D82" s="298"/>
      <c r="E82" s="584" t="s">
        <v>146</v>
      </c>
      <c r="F82" s="584"/>
      <c r="G82" s="299" t="s">
        <v>48</v>
      </c>
      <c r="H82" s="300" t="s">
        <v>148</v>
      </c>
      <c r="I82" s="298"/>
      <c r="J82" s="301"/>
      <c r="K82" s="292"/>
      <c r="P82" s="19" t="s">
        <v>626</v>
      </c>
    </row>
    <row r="83" spans="1:16" s="19" customFormat="1" ht="10.5" customHeight="1">
      <c r="A83" s="281" t="str">
        <f t="shared" si="10"/>
        <v>Chocolade Mout</v>
      </c>
      <c r="B83" s="296">
        <f t="shared" si="11"/>
        <v>0.15</v>
      </c>
      <c r="C83" s="302" t="str">
        <f aca="true" t="shared" si="12" ref="C83:C89">IF(J34="","",REPT(G34,1))</f>
        <v>koriander, geplet</v>
      </c>
      <c r="D83" s="283"/>
      <c r="E83" s="347">
        <f>IF(ISNUMBER(J34),J34*altliters/Gewenste_liters,"")</f>
        <v>4.5</v>
      </c>
      <c r="F83" s="283" t="str">
        <f aca="true" t="shared" si="13" ref="F83:F89">IF(ISNUMBER(J34),K34,"")</f>
        <v>g</v>
      </c>
      <c r="G83" s="303">
        <f aca="true" t="shared" si="14" ref="G83:G89">IF(ISNUMBER(J34),L34,"")</f>
        <v>75</v>
      </c>
      <c r="H83" s="283"/>
      <c r="I83" s="283"/>
      <c r="J83" s="293"/>
      <c r="K83" s="292"/>
      <c r="P83" s="19" t="s">
        <v>627</v>
      </c>
    </row>
    <row r="84" spans="1:11" ht="10.5" customHeight="1">
      <c r="A84" s="281">
        <f t="shared" si="10"/>
      </c>
      <c r="B84" s="296">
        <f t="shared" si="11"/>
      </c>
      <c r="C84" s="302" t="str">
        <f t="shared" si="12"/>
        <v>vanille (lint)</v>
      </c>
      <c r="D84" s="283"/>
      <c r="E84" s="347">
        <f aca="true" t="shared" si="15" ref="E84:E89">IF(ISNUMBER(J35),J35*altliters/Gewenste_liters,"")</f>
        <v>1.8</v>
      </c>
      <c r="F84" s="283" t="str">
        <f t="shared" si="13"/>
        <v>cm</v>
      </c>
      <c r="G84" s="303">
        <f t="shared" si="14"/>
        <v>75</v>
      </c>
      <c r="H84" s="283"/>
      <c r="I84" s="283"/>
      <c r="J84" s="293"/>
      <c r="K84" s="136"/>
    </row>
    <row r="85" spans="1:11" ht="10.5" customHeight="1">
      <c r="A85" s="281">
        <f t="shared" si="10"/>
      </c>
      <c r="B85" s="296">
        <f t="shared" si="11"/>
      </c>
      <c r="C85" s="302" t="str">
        <f t="shared" si="12"/>
        <v>kaneelstok</v>
      </c>
      <c r="D85" s="283"/>
      <c r="E85" s="347">
        <f t="shared" si="15"/>
        <v>0.6</v>
      </c>
      <c r="F85" s="283" t="str">
        <f t="shared" si="13"/>
        <v>stuks</v>
      </c>
      <c r="G85" s="303">
        <f t="shared" si="14"/>
        <v>75</v>
      </c>
      <c r="H85" s="283"/>
      <c r="I85" s="283"/>
      <c r="J85" s="293"/>
      <c r="K85" s="136"/>
    </row>
    <row r="86" spans="1:11" ht="10.5" customHeight="1">
      <c r="A86" s="281">
        <f t="shared" si="10"/>
      </c>
      <c r="B86" s="296">
        <f t="shared" si="11"/>
      </c>
      <c r="C86" s="302">
        <f t="shared" si="12"/>
      </c>
      <c r="D86" s="283"/>
      <c r="E86" s="347">
        <f t="shared" si="15"/>
      </c>
      <c r="F86" s="283">
        <f t="shared" si="13"/>
      </c>
      <c r="G86" s="303">
        <f t="shared" si="14"/>
      </c>
      <c r="H86" s="138"/>
      <c r="I86" s="138"/>
      <c r="J86" s="141"/>
      <c r="K86" s="136"/>
    </row>
    <row r="87" spans="1:11" ht="10.5" customHeight="1">
      <c r="A87" s="281">
        <f t="shared" si="10"/>
      </c>
      <c r="B87" s="296">
        <f t="shared" si="11"/>
      </c>
      <c r="C87" s="302">
        <f t="shared" si="12"/>
      </c>
      <c r="D87" s="283"/>
      <c r="E87" s="347">
        <f t="shared" si="15"/>
      </c>
      <c r="F87" s="283">
        <f t="shared" si="13"/>
      </c>
      <c r="G87" s="303">
        <f t="shared" si="14"/>
      </c>
      <c r="H87" s="138"/>
      <c r="I87" s="138"/>
      <c r="J87" s="141"/>
      <c r="K87" s="136"/>
    </row>
    <row r="88" spans="1:11" ht="10.5" customHeight="1">
      <c r="A88" s="281" t="str">
        <f t="shared" si="10"/>
        <v>Blond rietsuiker</v>
      </c>
      <c r="B88" s="296">
        <f t="shared" si="11"/>
        <v>1.05</v>
      </c>
      <c r="C88" s="302" t="str">
        <f t="shared" si="12"/>
        <v>gedr.appelsienschil</v>
      </c>
      <c r="D88" s="283"/>
      <c r="E88" s="347">
        <f t="shared" si="15"/>
        <v>0.6</v>
      </c>
      <c r="F88" s="283" t="str">
        <f t="shared" si="13"/>
        <v>eetlepel</v>
      </c>
      <c r="G88" s="303">
        <f t="shared" si="14"/>
        <v>75</v>
      </c>
      <c r="H88" s="138"/>
      <c r="I88" s="138"/>
      <c r="J88" s="141"/>
      <c r="K88" s="136"/>
    </row>
    <row r="89" spans="1:11" ht="10.5" customHeight="1">
      <c r="A89" s="281">
        <f t="shared" si="10"/>
      </c>
      <c r="B89" s="296">
        <f t="shared" si="11"/>
      </c>
      <c r="C89" s="302">
        <f t="shared" si="12"/>
      </c>
      <c r="D89" s="283"/>
      <c r="E89" s="347">
        <f t="shared" si="15"/>
      </c>
      <c r="F89" s="283">
        <f t="shared" si="13"/>
      </c>
      <c r="G89" s="303">
        <f t="shared" si="14"/>
      </c>
      <c r="H89" s="138"/>
      <c r="I89" s="138"/>
      <c r="J89" s="141"/>
      <c r="K89" s="136"/>
    </row>
    <row r="90" spans="1:11" s="249" customFormat="1" ht="12" customHeight="1">
      <c r="A90" s="281">
        <f>IF(D22="","",REPT(A22,1))</f>
      </c>
      <c r="B90" s="493">
        <f t="shared" si="11"/>
      </c>
      <c r="C90" s="304" t="s">
        <v>149</v>
      </c>
      <c r="D90" s="138"/>
      <c r="E90" s="138"/>
      <c r="F90" s="138"/>
      <c r="G90" s="138"/>
      <c r="H90" s="138"/>
      <c r="I90" s="138"/>
      <c r="J90" s="141"/>
      <c r="K90" s="305"/>
    </row>
    <row r="91" spans="1:11" s="249" customFormat="1" ht="8.25" customHeight="1">
      <c r="A91" s="306"/>
      <c r="B91" s="307"/>
      <c r="C91" s="308"/>
      <c r="D91" s="238"/>
      <c r="E91" s="238"/>
      <c r="F91" s="238"/>
      <c r="G91" s="238"/>
      <c r="H91" s="238"/>
      <c r="I91" s="238"/>
      <c r="J91" s="309"/>
      <c r="K91" s="305"/>
    </row>
    <row r="92" spans="1:11" s="246" customFormat="1" ht="13.5">
      <c r="A92" s="310" t="s">
        <v>138</v>
      </c>
      <c r="B92" s="260">
        <f>moutkilos*mashfactor*D69/Gewenste_liters</f>
        <v>35.37</v>
      </c>
      <c r="C92" s="278"/>
      <c r="D92" s="311" t="s">
        <v>166</v>
      </c>
      <c r="E92" s="280"/>
      <c r="F92" s="280"/>
      <c r="G92" s="280"/>
      <c r="H92" s="280"/>
      <c r="I92" s="280"/>
      <c r="J92" s="312">
        <f>G41</f>
        <v>21</v>
      </c>
      <c r="K92" s="269"/>
    </row>
    <row r="93" spans="1:11" s="246" customFormat="1" ht="13.5">
      <c r="A93" s="268" t="s">
        <v>136</v>
      </c>
      <c r="B93" s="252">
        <f>IF(mashplato=0,0,(totaalvolume*D69/Gewenste_liters)-(mashwater*D69/Gewenste_liters))</f>
        <v>8.777999999999999</v>
      </c>
      <c r="C93" s="313"/>
      <c r="D93" s="267" t="s">
        <v>150</v>
      </c>
      <c r="E93" s="270"/>
      <c r="F93" s="270"/>
      <c r="G93" s="270"/>
      <c r="H93" s="270"/>
      <c r="I93" s="270"/>
      <c r="J93" s="262">
        <f>MaischSG</f>
        <v>1079.8359042420977</v>
      </c>
      <c r="K93" s="269"/>
    </row>
    <row r="94" spans="1:11" s="246" customFormat="1" ht="13.5">
      <c r="A94" s="314" t="s">
        <v>163</v>
      </c>
      <c r="B94" s="315">
        <f>Kooktijd</f>
        <v>86.55479999999999</v>
      </c>
      <c r="C94" s="313"/>
      <c r="D94" s="267" t="s">
        <v>151</v>
      </c>
      <c r="E94" s="270"/>
      <c r="F94" s="270"/>
      <c r="G94" s="270"/>
      <c r="H94" s="270"/>
      <c r="I94" s="270"/>
      <c r="J94" s="262">
        <f>J13</f>
        <v>1013.4202903721623</v>
      </c>
      <c r="K94" s="269"/>
    </row>
    <row r="95" spans="1:11" s="246" customFormat="1" ht="13.5">
      <c r="A95" s="268" t="s">
        <v>155</v>
      </c>
      <c r="B95" s="316">
        <f>kleur</f>
        <v>75.45482813953488</v>
      </c>
      <c r="C95" s="313"/>
      <c r="D95" s="267" t="s">
        <v>152</v>
      </c>
      <c r="E95" s="270"/>
      <c r="F95" s="270"/>
      <c r="G95" s="270"/>
      <c r="H95" s="270"/>
      <c r="I95" s="270"/>
      <c r="J95" s="263">
        <f>StamwortSG</f>
        <v>1095.2198552628872</v>
      </c>
      <c r="K95" s="269"/>
    </row>
    <row r="96" spans="1:11" s="246" customFormat="1" ht="13.5">
      <c r="A96" s="268" t="s">
        <v>164</v>
      </c>
      <c r="B96" s="317" t="str">
        <f>IF(Aardbier=1,"éénstapsmaisch 90'66°",IF(Aardbier="D","Droog",IF(Aardbier="M","Medium, normaal","Zacht, zoetig")))</f>
        <v>Droog</v>
      </c>
      <c r="C96" s="313"/>
      <c r="D96" s="267" t="s">
        <v>159</v>
      </c>
      <c r="E96" s="270"/>
      <c r="F96" s="270"/>
      <c r="G96" s="270"/>
      <c r="H96" s="270"/>
      <c r="I96" s="270"/>
      <c r="J96" s="333">
        <f>voorsp_eindSG</f>
        <v>1013.3111868849473</v>
      </c>
      <c r="K96" s="269"/>
    </row>
    <row r="97" spans="1:10" s="246" customFormat="1" ht="13.5">
      <c r="A97" s="314" t="s">
        <v>165</v>
      </c>
      <c r="B97" s="270" t="str">
        <f>IF(Eiwitrust="J","JA","NEEN")</f>
        <v>JA</v>
      </c>
      <c r="C97" s="261"/>
      <c r="D97" s="267" t="s">
        <v>160</v>
      </c>
      <c r="E97" s="270"/>
      <c r="F97" s="270"/>
      <c r="G97" s="270"/>
      <c r="H97" s="270"/>
      <c r="I97" s="270"/>
      <c r="J97" s="318">
        <f>VSPalcvol</f>
        <v>0.10997627270892943</v>
      </c>
    </row>
    <row r="98" spans="1:11" s="246" customFormat="1" ht="12" customHeight="1">
      <c r="A98" s="314" t="s">
        <v>179</v>
      </c>
      <c r="B98" s="351">
        <f>$K$28/Gewenste_liters*altliters</f>
        <v>402</v>
      </c>
      <c r="C98" s="270" t="s">
        <v>180</v>
      </c>
      <c r="D98" s="281"/>
      <c r="E98" s="270"/>
      <c r="F98" s="270"/>
      <c r="G98" s="270"/>
      <c r="H98" s="270"/>
      <c r="I98" s="270"/>
      <c r="J98" s="354"/>
      <c r="K98" s="271"/>
    </row>
    <row r="99" spans="1:11" s="249" customFormat="1" ht="13.5">
      <c r="A99" s="355"/>
      <c r="B99" s="352">
        <f>$H$29/Gewenste_liters*altliters</f>
        <v>2.650778666666666</v>
      </c>
      <c r="C99" s="270" t="s">
        <v>181</v>
      </c>
      <c r="D99" s="353"/>
      <c r="E99" s="349"/>
      <c r="F99" s="349">
        <f>IF(E99="","",IF(C99=0,"  ",IF(E99&gt;Kooktijd,"hop te laat!",IF(#REF!="PELL",TANH(PI()*(Kooktijd-E99)/120)*0.398*0.000125^(MaischSG/1000-1)*C99*D99*10/Gewenste_liters*1.1,TANH(PI()*(Kooktijd-E99)/120)*0.398*0.000125^(MaischSG/1000-1)*C99*D99*10/Gewenste_liters))))</f>
      </c>
      <c r="G99" s="349"/>
      <c r="H99" s="349"/>
      <c r="I99" s="349"/>
      <c r="J99" s="313"/>
      <c r="K99" s="271"/>
    </row>
    <row r="100" spans="1:11" ht="13.5">
      <c r="A100" s="356"/>
      <c r="B100" s="357">
        <f>M29/Gewenste_liters*altliters</f>
        <v>14.1</v>
      </c>
      <c r="C100" s="294" t="s">
        <v>182</v>
      </c>
      <c r="D100" s="358"/>
      <c r="E100" s="238"/>
      <c r="F100" s="238">
        <f>IF(E100="","",IF(C100=0,"  ",IF(E100&gt;Kooktijd,"hop te laat!",IF(B100="PELL",TANH(PI()*(Kooktijd-E100)/120)*0.398*0.000125^(MaischSG/1000-1)*C100*D100*10/Gewenste_liters*1.1,TANH(PI()*(Kooktijd-E100)/120)*0.398*0.000125^(MaischSG/1000-1)*C100*D100*10/Gewenste_liters))))</f>
      </c>
      <c r="G100" s="238"/>
      <c r="H100" s="238"/>
      <c r="I100" s="145"/>
      <c r="J100" s="359"/>
      <c r="K100" s="319"/>
    </row>
    <row r="101" spans="1:11" ht="12.75">
      <c r="A101" s="320"/>
      <c r="F101" s="1">
        <f>IF(E101="","",IF(C101=0,"  ",IF(E101&gt;Kooktijd,"hop te laat!",IF(B101="PELL",TANH(PI()*(Kooktijd-E101)/120)*0.398*0.000125^(MaischSG/1000-1)*C101*D101*10/Gewenste_liters*1.1,TANH(PI()*(Kooktijd-E101)/120)*0.398*0.000125^(MaischSG/1000-1)*C101*D101*10/Gewenste_liters))))</f>
      </c>
      <c r="I101" s="320"/>
      <c r="J101" s="320"/>
      <c r="K101" s="321"/>
    </row>
    <row r="102" ht="12.75">
      <c r="F102" s="1">
        <f>IF(E102="","",IF(C102=0,"  ",IF(E102&gt;Kooktijd,"hop te laat!",IF(B102="PELL",TANH(PI()*(Kooktijd-E102)/120)*0.398*0.000125^(MaischSG/1000-1)*C102*D102*10/Gewenste_liters*1.1,TANH(PI()*(Kooktijd-E102)/120)*0.398*0.000125^(MaischSG/1000-1)*C102*D102*10/Gewenste_liters))))</f>
      </c>
    </row>
    <row r="103" ht="12.75">
      <c r="F103" s="1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</row>
    <row r="104" ht="12.75">
      <c r="F104" s="1" t="str">
        <f>IF(C104=0,"  ",C104*D104*10/Gewenste_liters)</f>
        <v>  </v>
      </c>
    </row>
  </sheetData>
  <sheetProtection sheet="1" objects="1" scenarios="1"/>
  <mergeCells count="40">
    <mergeCell ref="T34:T36"/>
    <mergeCell ref="P34:P36"/>
    <mergeCell ref="Q34:Q36"/>
    <mergeCell ref="R34:R36"/>
    <mergeCell ref="S34:S36"/>
    <mergeCell ref="P32:T33"/>
    <mergeCell ref="R4:R5"/>
    <mergeCell ref="S4:S5"/>
    <mergeCell ref="T4:T5"/>
    <mergeCell ref="H69:K69"/>
    <mergeCell ref="E82:F82"/>
    <mergeCell ref="G35:I35"/>
    <mergeCell ref="E51:F51"/>
    <mergeCell ref="G40:I40"/>
    <mergeCell ref="G37:I37"/>
    <mergeCell ref="G38:I38"/>
    <mergeCell ref="G36:I36"/>
    <mergeCell ref="E46:F46"/>
    <mergeCell ref="I42:J42"/>
    <mergeCell ref="A1:B1"/>
    <mergeCell ref="F1:G1"/>
    <mergeCell ref="P2:T3"/>
    <mergeCell ref="P4:P5"/>
    <mergeCell ref="Q4:Q5"/>
    <mergeCell ref="A2:B2"/>
    <mergeCell ref="L1:M1"/>
    <mergeCell ref="L2:M2"/>
    <mergeCell ref="D3:E3"/>
    <mergeCell ref="D2:E2"/>
    <mergeCell ref="G39:I39"/>
    <mergeCell ref="L44:M44"/>
    <mergeCell ref="A23:A24"/>
    <mergeCell ref="G23:H23"/>
    <mergeCell ref="G33:I33"/>
    <mergeCell ref="G24:H24"/>
    <mergeCell ref="G34:I34"/>
    <mergeCell ref="B49:C49"/>
    <mergeCell ref="L48:M48"/>
    <mergeCell ref="E43:F43"/>
    <mergeCell ref="G43:H43"/>
  </mergeCells>
  <conditionalFormatting sqref="B3 M7 J17 B25 L8 E41 M43 L49 E52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 J17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3">
      <formula1>"D,M,Z,1"</formula1>
    </dataValidation>
    <dataValidation allowBlank="1" showInputMessage="1" showErrorMessage="1" prompt="vul in" sqref="B20:C22"/>
    <dataValidation errorStyle="warning" type="decimal" operator="greaterThanOrEqual" allowBlank="1" showInputMessage="1" showErrorMessage="1" error="alleen cijfers toegestaan" sqref="D5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6">
      <formula1>"J, N"</formula1>
    </dataValidation>
    <dataValidation errorStyle="warning" type="whole" allowBlank="1" showInputMessage="1" showErrorMessage="1" promptTitle="Kooktijd:" prompt="minstens 60'&#10;max. 120'" sqref="M7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7">
      <formula1>"J, N"</formula1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8"/>
    <dataValidation errorStyle="information" type="list" showInputMessage="1" showErrorMessage="1" promptTitle="Klik op de pijl" prompt="Eiwitrust?&#10;J = op 53°C starten&#10;N = direkt naar bèta amylase." errorTitle="let op" error="J of N !!" sqref="H25:I25">
      <formula1>"J, N"</formula1>
    </dataValidation>
    <dataValidation errorStyle="information" type="list" showInputMessage="1" showErrorMessage="1" promptTitle="Kies:" prompt="BLM = hopbellen (bloemen)&#10;PELL = pellets" errorTitle="let op" error="PELL of BLM" sqref="B34:B38">
      <formula1>"PELL, BLM"</formula1>
    </dataValidation>
    <dataValidation errorStyle="information" type="list" showInputMessage="1" showErrorMessage="1" promptTitle="Klik op de pijl" prompt="Kies een meeteenheid" errorTitle="let op: Niet intypen!" error="Enkel via menu kiezen" sqref="B43">
      <formula1>"°Plato,°Brix,S.G."</formula1>
    </dataValidation>
    <dataValidation errorStyle="warning" type="decimal" allowBlank="1" showInputMessage="1" showErrorMessage="1" prompt="Vul het S.G. of de °Plato of °Brix in, na koelen, zonder de gist." errorTitle="Aandacht" error="Onlogische waarde!" sqref="C43">
      <formula1>1</formula1>
      <formula2>1200</formula2>
    </dataValidation>
    <dataValidation errorStyle="warning" allowBlank="1" showErrorMessage="1" sqref="E43"/>
    <dataValidation errorStyle="warning" type="decimal" allowBlank="1" showErrorMessage="1" sqref="D43">
      <formula1>0</formula1>
      <formula2>1200</formula2>
    </dataValidation>
    <dataValidation errorStyle="warning" type="decimal" allowBlank="1" showErrorMessage="1" sqref="G43:H43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B46">
      <formula1>"°Plato,S.G."</formula1>
    </dataValidation>
    <dataValidation errorStyle="warning" type="decimal" allowBlank="1" showInputMessage="1" showErrorMessage="1" promptTitle="Refractometer niet toegestaan" prompt="Dit is de waarde net vóór het bottelen" errorTitle="Aandacht" error="Onlogische waarde!" sqref="C46">
      <formula1>-3.7</formula1>
      <formula2>1200</formula2>
    </dataValidation>
    <dataValidation errorStyle="information" allowBlank="1" showInputMessage="1" sqref="D34"/>
    <dataValidation type="list" showInputMessage="1" showErrorMessage="1" promptTitle="Klik op pijl, gebr schuifbalk" prompt="&#10;" sqref="B49:C49">
      <formula1>"Kristalsuiker, Dextrose, Rietsuiker"</formula1>
    </dataValidation>
    <dataValidation type="list" showInputMessage="1" showErrorMessage="1" promptTitle="Klik op de pijl" prompt="J = ja, zelf bepalen&#10;N = volgens resultaten" errorTitle="let op" error="J of N !!" sqref="G49">
      <formula1>"J, N"</formula1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errorTitle="U wil dit overschrijven" sqref="A34:A38">
      <formula1>$P$38:$P$51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8">
      <formula1>$P$38:$P$51</formula1>
    </dataValidation>
    <dataValidation type="list" allowBlank="1" showInputMessage="1" showErrorMessage="1" promptTitle="Klik op pijl, gebr schuifbalk" prompt="Raadpleeg eventueel de&#10;tabel in de verborgen&#10;kolommen (gist tabel)&#10;" sqref="L48:M48">
      <formula1>$P$7:$P$23</formula1>
    </dataValidation>
    <dataValidation type="list" allowBlank="1" showInputMessage="1" showErrorMessage="1" promptTitle="Klik op pijl, gebr schuifbalk" prompt="Raadpleeg eventueel de&#10;tabel in de verborgen&#10;kolommen (gist tabel)&#10;" sqref="D3:E3">
      <formula1>$P$7:$P$29</formula1>
    </dataValidation>
  </dataValidations>
  <printOptions/>
  <pageMargins left="0.7874015748031497" right="0.15748031496062992" top="0.2755905511811024" bottom="0.31496062992125984" header="0" footer="0.31496062992125984"/>
  <pageSetup orientation="portrait" paperSize="9" scale="105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2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8515625" style="0" customWidth="1"/>
    <col min="2" max="2" width="5.57421875" style="375" customWidth="1"/>
    <col min="3" max="3" width="5.421875" style="376" customWidth="1"/>
    <col min="4" max="5" width="5.00390625" style="375" customWidth="1"/>
    <col min="6" max="6" width="5.421875" style="375" customWidth="1"/>
    <col min="7" max="7" width="1.1484375" style="3" customWidth="1"/>
    <col min="8" max="8" width="23.8515625" style="0" customWidth="1"/>
    <col min="9" max="9" width="7.57421875" style="377" customWidth="1"/>
    <col min="10" max="10" width="5.57421875" style="376" customWidth="1"/>
    <col min="11" max="11" width="1.1484375" style="0" customWidth="1"/>
    <col min="12" max="12" width="24.28125" style="104" customWidth="1"/>
    <col min="13" max="13" width="4.8515625" style="376" customWidth="1"/>
    <col min="14" max="14" width="93.421875" style="379" customWidth="1"/>
    <col min="15" max="15" width="0.9921875" style="379" customWidth="1"/>
    <col min="16" max="16" width="16.00390625" style="0" customWidth="1"/>
    <col min="17" max="17" width="5.57421875" style="375" customWidth="1"/>
    <col min="18" max="18" width="4.8515625" style="104" customWidth="1"/>
    <col min="19" max="19" width="77.8515625" style="0" customWidth="1"/>
    <col min="20" max="20" width="27.28125" style="0" customWidth="1"/>
    <col min="21" max="21" width="20.57421875" style="0" customWidth="1"/>
  </cols>
  <sheetData>
    <row r="1" spans="1:19" ht="17.25" customHeight="1">
      <c r="A1" s="612" t="s">
        <v>192</v>
      </c>
      <c r="B1" s="610"/>
      <c r="C1" s="610"/>
      <c r="D1" s="610"/>
      <c r="E1" s="610"/>
      <c r="F1" s="611"/>
      <c r="G1" s="378"/>
      <c r="H1" s="609" t="s">
        <v>206</v>
      </c>
      <c r="I1" s="610"/>
      <c r="J1" s="611"/>
      <c r="K1" s="378"/>
      <c r="L1" s="609" t="s">
        <v>594</v>
      </c>
      <c r="M1" s="610"/>
      <c r="N1" s="610"/>
      <c r="O1" s="439"/>
      <c r="P1" s="607" t="s">
        <v>425</v>
      </c>
      <c r="Q1" s="608"/>
      <c r="R1" s="608"/>
      <c r="S1" s="608"/>
    </row>
    <row r="2" spans="1:21" s="387" customFormat="1" ht="48">
      <c r="A2" s="380" t="s">
        <v>193</v>
      </c>
      <c r="B2" s="433" t="s">
        <v>331</v>
      </c>
      <c r="C2" s="430" t="s">
        <v>332</v>
      </c>
      <c r="D2" s="433" t="s">
        <v>194</v>
      </c>
      <c r="E2" s="433" t="s">
        <v>207</v>
      </c>
      <c r="F2" s="434" t="s">
        <v>205</v>
      </c>
      <c r="G2" s="384"/>
      <c r="H2" s="385"/>
      <c r="I2" s="431" t="s">
        <v>334</v>
      </c>
      <c r="J2" s="432" t="s">
        <v>410</v>
      </c>
      <c r="K2" s="384"/>
      <c r="L2" s="386"/>
      <c r="M2" s="411" t="s">
        <v>577</v>
      </c>
      <c r="N2" s="463" t="s">
        <v>572</v>
      </c>
      <c r="O2" s="435"/>
      <c r="P2" s="438" t="s">
        <v>426</v>
      </c>
      <c r="Q2" s="430" t="s">
        <v>427</v>
      </c>
      <c r="R2" s="430" t="s">
        <v>428</v>
      </c>
      <c r="S2" s="430" t="s">
        <v>316</v>
      </c>
      <c r="T2" s="430" t="s">
        <v>431</v>
      </c>
      <c r="U2" s="430" t="s">
        <v>433</v>
      </c>
    </row>
    <row r="3" spans="1:21" s="391" customFormat="1" ht="12">
      <c r="A3" s="614" t="s">
        <v>195</v>
      </c>
      <c r="B3" s="615"/>
      <c r="C3" s="615"/>
      <c r="D3" s="615"/>
      <c r="E3" s="615"/>
      <c r="F3" s="615"/>
      <c r="G3" s="388"/>
      <c r="H3" s="613" t="s">
        <v>208</v>
      </c>
      <c r="I3" s="613"/>
      <c r="J3" s="613"/>
      <c r="K3" s="388"/>
      <c r="L3" s="389" t="s">
        <v>384</v>
      </c>
      <c r="M3" s="412"/>
      <c r="N3" s="390"/>
      <c r="O3" s="440"/>
      <c r="P3" s="390"/>
      <c r="Q3" s="445"/>
      <c r="R3" s="445"/>
      <c r="S3" s="390"/>
      <c r="T3" s="450"/>
      <c r="U3" s="449"/>
    </row>
    <row r="4" spans="1:21" s="387" customFormat="1" ht="13.5">
      <c r="A4" s="392" t="s">
        <v>196</v>
      </c>
      <c r="B4" s="393">
        <v>16</v>
      </c>
      <c r="C4" s="394">
        <f>IF(ISNUMBER(B4),(1+(B4/(258.6-0.87955*B4)))*1000,"")</f>
        <v>1065.432393615107</v>
      </c>
      <c r="D4" s="393">
        <v>6.8</v>
      </c>
      <c r="E4" s="393">
        <v>14</v>
      </c>
      <c r="F4" s="395">
        <v>24</v>
      </c>
      <c r="G4" s="384"/>
      <c r="H4" s="396" t="s">
        <v>209</v>
      </c>
      <c r="I4" s="397">
        <v>80.07</v>
      </c>
      <c r="J4" s="398">
        <v>3.009686417382936</v>
      </c>
      <c r="K4" s="384"/>
      <c r="L4" s="399" t="s">
        <v>314</v>
      </c>
      <c r="M4" s="394">
        <v>75</v>
      </c>
      <c r="N4" s="436" t="s">
        <v>354</v>
      </c>
      <c r="O4" s="441"/>
      <c r="P4" s="454" t="s">
        <v>429</v>
      </c>
      <c r="Q4" s="446">
        <v>14</v>
      </c>
      <c r="R4" s="446" t="s">
        <v>84</v>
      </c>
      <c r="S4" s="451" t="s">
        <v>430</v>
      </c>
      <c r="T4" s="451" t="s">
        <v>432</v>
      </c>
      <c r="U4" s="457" t="s">
        <v>434</v>
      </c>
    </row>
    <row r="5" spans="1:21" s="387" customFormat="1" ht="13.5">
      <c r="A5" s="380" t="s">
        <v>197</v>
      </c>
      <c r="B5" s="381">
        <v>18.4</v>
      </c>
      <c r="C5" s="382">
        <f aca="true" t="shared" si="0" ref="C5:C60">IF(ISNUMBER(B5),(1+(B5/(258.6-0.87955*B5)))*1000,"")</f>
        <v>1075.902493017383</v>
      </c>
      <c r="D5" s="381">
        <v>8.3</v>
      </c>
      <c r="E5" s="381">
        <v>13</v>
      </c>
      <c r="F5" s="383">
        <v>31</v>
      </c>
      <c r="G5" s="384"/>
      <c r="H5" s="400" t="s">
        <v>210</v>
      </c>
      <c r="I5" s="401">
        <v>80.07</v>
      </c>
      <c r="J5" s="402">
        <v>8.013866721355207</v>
      </c>
      <c r="K5" s="384"/>
      <c r="L5" s="403" t="s">
        <v>315</v>
      </c>
      <c r="M5" s="382">
        <v>75</v>
      </c>
      <c r="N5" s="437" t="s">
        <v>355</v>
      </c>
      <c r="O5" s="442"/>
      <c r="P5" s="455" t="s">
        <v>435</v>
      </c>
      <c r="Q5" s="447">
        <v>9.5</v>
      </c>
      <c r="R5" s="447" t="s">
        <v>84</v>
      </c>
      <c r="S5" s="452" t="s">
        <v>436</v>
      </c>
      <c r="T5" s="452" t="s">
        <v>437</v>
      </c>
      <c r="U5" s="458" t="s">
        <v>438</v>
      </c>
    </row>
    <row r="6" spans="1:21" s="387" customFormat="1" ht="13.5">
      <c r="A6" s="392" t="s">
        <v>198</v>
      </c>
      <c r="B6" s="393">
        <v>14.5</v>
      </c>
      <c r="C6" s="394">
        <f t="shared" si="0"/>
        <v>1058.9798859267992</v>
      </c>
      <c r="D6" s="393">
        <v>6.4</v>
      </c>
      <c r="E6" s="393">
        <v>18</v>
      </c>
      <c r="F6" s="395">
        <v>31</v>
      </c>
      <c r="G6" s="384"/>
      <c r="H6" s="396" t="s">
        <v>211</v>
      </c>
      <c r="I6" s="397">
        <v>81</v>
      </c>
      <c r="J6" s="398">
        <v>3.0043107676903453</v>
      </c>
      <c r="K6" s="384"/>
      <c r="L6" s="399" t="s">
        <v>338</v>
      </c>
      <c r="M6" s="394">
        <v>75</v>
      </c>
      <c r="N6" s="436" t="s">
        <v>356</v>
      </c>
      <c r="O6" s="441"/>
      <c r="P6" s="454" t="s">
        <v>439</v>
      </c>
      <c r="Q6" s="446">
        <v>6.4</v>
      </c>
      <c r="R6" s="446" t="s">
        <v>87</v>
      </c>
      <c r="S6" s="451" t="s">
        <v>440</v>
      </c>
      <c r="T6" s="451" t="s">
        <v>441</v>
      </c>
      <c r="U6" s="457" t="s">
        <v>442</v>
      </c>
    </row>
    <row r="7" spans="1:21" s="387" customFormat="1" ht="13.5">
      <c r="A7" s="380" t="s">
        <v>199</v>
      </c>
      <c r="B7" s="381">
        <v>15.6</v>
      </c>
      <c r="C7" s="382">
        <f t="shared" si="0"/>
        <v>1063.7049266205001</v>
      </c>
      <c r="D7" s="381">
        <v>6.6</v>
      </c>
      <c r="E7" s="381">
        <v>15</v>
      </c>
      <c r="F7" s="383">
        <v>25</v>
      </c>
      <c r="G7" s="384"/>
      <c r="H7" s="400" t="s">
        <v>212</v>
      </c>
      <c r="I7" s="401">
        <v>80.07</v>
      </c>
      <c r="J7" s="402">
        <v>31.005141973052183</v>
      </c>
      <c r="K7" s="384"/>
      <c r="L7" s="403" t="s">
        <v>337</v>
      </c>
      <c r="M7" s="382">
        <v>70</v>
      </c>
      <c r="N7" s="437" t="s">
        <v>357</v>
      </c>
      <c r="O7" s="442"/>
      <c r="P7" s="455" t="s">
        <v>444</v>
      </c>
      <c r="Q7" s="447">
        <v>6</v>
      </c>
      <c r="R7" s="447" t="s">
        <v>84</v>
      </c>
      <c r="S7" s="452" t="s">
        <v>443</v>
      </c>
      <c r="T7" s="452" t="s">
        <v>445</v>
      </c>
      <c r="U7" s="458" t="s">
        <v>446</v>
      </c>
    </row>
    <row r="8" spans="1:21" s="387" customFormat="1" ht="13.5">
      <c r="A8" s="392" t="s">
        <v>200</v>
      </c>
      <c r="B8" s="393">
        <v>16.9</v>
      </c>
      <c r="C8" s="394">
        <f t="shared" si="0"/>
        <v>1069.3374281529364</v>
      </c>
      <c r="D8" s="393">
        <v>8.1</v>
      </c>
      <c r="E8" s="393">
        <v>65</v>
      </c>
      <c r="F8" s="395">
        <v>29</v>
      </c>
      <c r="G8" s="384"/>
      <c r="H8" s="396" t="s">
        <v>213</v>
      </c>
      <c r="I8" s="397">
        <v>80.07</v>
      </c>
      <c r="J8" s="398">
        <v>16.020431492921627</v>
      </c>
      <c r="K8" s="384"/>
      <c r="L8" s="399" t="s">
        <v>339</v>
      </c>
      <c r="M8" s="394">
        <v>74</v>
      </c>
      <c r="N8" s="436" t="s">
        <v>358</v>
      </c>
      <c r="O8" s="441"/>
      <c r="P8" s="454" t="s">
        <v>447</v>
      </c>
      <c r="Q8" s="446">
        <v>5.5</v>
      </c>
      <c r="R8" s="446" t="s">
        <v>87</v>
      </c>
      <c r="S8" s="451" t="s">
        <v>448</v>
      </c>
      <c r="T8" s="451" t="s">
        <v>449</v>
      </c>
      <c r="U8" s="457" t="s">
        <v>450</v>
      </c>
    </row>
    <row r="9" spans="1:21" s="387" customFormat="1" ht="13.5">
      <c r="A9" s="380" t="s">
        <v>201</v>
      </c>
      <c r="B9" s="381">
        <v>21.5</v>
      </c>
      <c r="C9" s="382">
        <f t="shared" si="0"/>
        <v>1089.699316418198</v>
      </c>
      <c r="D9" s="381">
        <v>10</v>
      </c>
      <c r="E9" s="381">
        <v>78</v>
      </c>
      <c r="F9" s="383">
        <v>22</v>
      </c>
      <c r="G9" s="384"/>
      <c r="H9" s="400" t="s">
        <v>214</v>
      </c>
      <c r="I9" s="401">
        <v>80.07</v>
      </c>
      <c r="J9" s="402">
        <v>49.01710090874289</v>
      </c>
      <c r="K9" s="384"/>
      <c r="L9" s="403" t="s">
        <v>317</v>
      </c>
      <c r="M9" s="382">
        <v>74</v>
      </c>
      <c r="N9" s="437" t="s">
        <v>359</v>
      </c>
      <c r="O9" s="442"/>
      <c r="P9" s="455" t="s">
        <v>452</v>
      </c>
      <c r="Q9" s="447">
        <v>9.5</v>
      </c>
      <c r="R9" s="447" t="s">
        <v>84</v>
      </c>
      <c r="S9" s="452" t="s">
        <v>451</v>
      </c>
      <c r="T9" s="452" t="s">
        <v>447</v>
      </c>
      <c r="U9" s="458" t="s">
        <v>453</v>
      </c>
    </row>
    <row r="10" spans="1:21" s="387" customFormat="1" ht="13.5">
      <c r="A10" s="392" t="s">
        <v>202</v>
      </c>
      <c r="B10" s="393">
        <v>18</v>
      </c>
      <c r="C10" s="394">
        <f t="shared" si="0"/>
        <v>1074.1448320434192</v>
      </c>
      <c r="D10" s="393">
        <v>8.5</v>
      </c>
      <c r="E10" s="393">
        <v>14</v>
      </c>
      <c r="F10" s="395">
        <v>28</v>
      </c>
      <c r="G10" s="384"/>
      <c r="H10" s="396" t="s">
        <v>215</v>
      </c>
      <c r="I10" s="397">
        <v>69.25</v>
      </c>
      <c r="J10" s="398">
        <v>150</v>
      </c>
      <c r="K10" s="384"/>
      <c r="L10" s="399" t="s">
        <v>318</v>
      </c>
      <c r="M10" s="394">
        <v>75</v>
      </c>
      <c r="N10" s="436" t="s">
        <v>360</v>
      </c>
      <c r="O10" s="441"/>
      <c r="P10" s="454" t="s">
        <v>454</v>
      </c>
      <c r="Q10" s="446">
        <v>7.5</v>
      </c>
      <c r="R10" s="446" t="s">
        <v>84</v>
      </c>
      <c r="S10" s="451" t="s">
        <v>455</v>
      </c>
      <c r="T10" s="451" t="s">
        <v>456</v>
      </c>
      <c r="U10" s="457" t="s">
        <v>457</v>
      </c>
    </row>
    <row r="11" spans="1:21" s="387" customFormat="1" ht="13.5">
      <c r="A11" s="380" t="s">
        <v>203</v>
      </c>
      <c r="B11" s="381">
        <v>19.5</v>
      </c>
      <c r="C11" s="382">
        <f t="shared" si="0"/>
        <v>1080.7624722883766</v>
      </c>
      <c r="D11" s="381">
        <v>8</v>
      </c>
      <c r="E11" s="381">
        <v>12</v>
      </c>
      <c r="F11" s="383">
        <v>20</v>
      </c>
      <c r="G11" s="384"/>
      <c r="H11" s="400" t="s">
        <v>216</v>
      </c>
      <c r="I11" s="401">
        <v>69.25</v>
      </c>
      <c r="J11" s="402">
        <v>58</v>
      </c>
      <c r="K11" s="384"/>
      <c r="L11" s="403" t="s">
        <v>321</v>
      </c>
      <c r="M11" s="382">
        <v>71</v>
      </c>
      <c r="N11" s="437" t="s">
        <v>361</v>
      </c>
      <c r="O11" s="442"/>
      <c r="P11" s="455" t="s">
        <v>458</v>
      </c>
      <c r="Q11" s="447">
        <v>5</v>
      </c>
      <c r="R11" s="447" t="s">
        <v>87</v>
      </c>
      <c r="S11" s="452" t="s">
        <v>461</v>
      </c>
      <c r="T11" s="452" t="s">
        <v>466</v>
      </c>
      <c r="U11" s="458" t="s">
        <v>460</v>
      </c>
    </row>
    <row r="12" spans="1:21" s="391" customFormat="1" ht="12.75" customHeight="1">
      <c r="A12" s="616" t="s">
        <v>217</v>
      </c>
      <c r="B12" s="617"/>
      <c r="C12" s="617"/>
      <c r="D12" s="617"/>
      <c r="E12" s="617"/>
      <c r="F12" s="617"/>
      <c r="G12" s="388"/>
      <c r="H12" s="396" t="s">
        <v>340</v>
      </c>
      <c r="I12" s="397">
        <v>61</v>
      </c>
      <c r="J12" s="398">
        <v>899.8957688987444</v>
      </c>
      <c r="K12" s="388"/>
      <c r="L12" s="399" t="s">
        <v>320</v>
      </c>
      <c r="M12" s="394">
        <v>75</v>
      </c>
      <c r="N12" s="436" t="s">
        <v>362</v>
      </c>
      <c r="O12" s="441"/>
      <c r="P12" s="454" t="s">
        <v>462</v>
      </c>
      <c r="Q12" s="446">
        <v>7.5</v>
      </c>
      <c r="R12" s="446" t="s">
        <v>84</v>
      </c>
      <c r="S12" s="451" t="s">
        <v>463</v>
      </c>
      <c r="T12" s="451" t="s">
        <v>467</v>
      </c>
      <c r="U12" s="458" t="s">
        <v>460</v>
      </c>
    </row>
    <row r="13" spans="1:21" s="387" customFormat="1" ht="25.5">
      <c r="A13" s="392" t="s">
        <v>218</v>
      </c>
      <c r="B13" s="393">
        <v>14.9</v>
      </c>
      <c r="C13" s="394">
        <f t="shared" si="0"/>
        <v>1060.6937734156018</v>
      </c>
      <c r="D13" s="393">
        <v>7.1</v>
      </c>
      <c r="E13" s="393">
        <v>30</v>
      </c>
      <c r="F13" s="395">
        <v>20</v>
      </c>
      <c r="G13" s="384"/>
      <c r="H13" s="400" t="s">
        <v>219</v>
      </c>
      <c r="I13" s="401">
        <v>61</v>
      </c>
      <c r="J13" s="402">
        <v>1455.8258760407844</v>
      </c>
      <c r="K13" s="384"/>
      <c r="L13" s="403" t="s">
        <v>364</v>
      </c>
      <c r="M13" s="382">
        <v>73</v>
      </c>
      <c r="N13" s="437" t="s">
        <v>365</v>
      </c>
      <c r="O13" s="442"/>
      <c r="P13" s="455" t="s">
        <v>459</v>
      </c>
      <c r="Q13" s="447">
        <v>4</v>
      </c>
      <c r="R13" s="447" t="s">
        <v>87</v>
      </c>
      <c r="S13" s="452" t="s">
        <v>464</v>
      </c>
      <c r="T13" s="452" t="s">
        <v>465</v>
      </c>
      <c r="U13" s="458" t="s">
        <v>468</v>
      </c>
    </row>
    <row r="14" spans="1:21" s="387" customFormat="1" ht="13.5">
      <c r="A14" s="380" t="s">
        <v>220</v>
      </c>
      <c r="B14" s="381">
        <v>16.9</v>
      </c>
      <c r="C14" s="382">
        <f t="shared" si="0"/>
        <v>1069.3374281529364</v>
      </c>
      <c r="D14" s="381">
        <v>8.2</v>
      </c>
      <c r="E14" s="381">
        <v>17</v>
      </c>
      <c r="F14" s="383">
        <v>35</v>
      </c>
      <c r="G14" s="384"/>
      <c r="H14" s="396" t="s">
        <v>221</v>
      </c>
      <c r="I14" s="397">
        <v>69.25</v>
      </c>
      <c r="J14" s="398">
        <v>60</v>
      </c>
      <c r="K14" s="384"/>
      <c r="L14" s="399" t="s">
        <v>319</v>
      </c>
      <c r="M14" s="394">
        <v>73</v>
      </c>
      <c r="N14" s="436" t="s">
        <v>363</v>
      </c>
      <c r="O14" s="441"/>
      <c r="P14" s="454" t="s">
        <v>469</v>
      </c>
      <c r="Q14" s="446">
        <v>3</v>
      </c>
      <c r="R14" s="446" t="s">
        <v>87</v>
      </c>
      <c r="S14" s="451" t="s">
        <v>470</v>
      </c>
      <c r="T14" s="451" t="s">
        <v>471</v>
      </c>
      <c r="U14" s="457" t="s">
        <v>475</v>
      </c>
    </row>
    <row r="15" spans="1:21" s="387" customFormat="1" ht="24">
      <c r="A15" s="392" t="s">
        <v>222</v>
      </c>
      <c r="B15" s="393">
        <v>18.7</v>
      </c>
      <c r="C15" s="394">
        <f t="shared" si="0"/>
        <v>1077.224090455592</v>
      </c>
      <c r="D15" s="393">
        <v>9</v>
      </c>
      <c r="E15" s="393">
        <v>80</v>
      </c>
      <c r="F15" s="395">
        <v>35</v>
      </c>
      <c r="G15" s="384"/>
      <c r="H15" s="400" t="s">
        <v>223</v>
      </c>
      <c r="I15" s="401">
        <v>69.25</v>
      </c>
      <c r="J15" s="402">
        <v>66</v>
      </c>
      <c r="K15" s="384"/>
      <c r="L15" s="403" t="s">
        <v>366</v>
      </c>
      <c r="M15" s="382">
        <v>75</v>
      </c>
      <c r="N15" s="437" t="s">
        <v>322</v>
      </c>
      <c r="O15" s="442"/>
      <c r="P15" s="455" t="s">
        <v>472</v>
      </c>
      <c r="Q15" s="447">
        <v>4.5</v>
      </c>
      <c r="R15" s="447" t="s">
        <v>87</v>
      </c>
      <c r="S15" s="452" t="s">
        <v>473</v>
      </c>
      <c r="T15" s="452" t="s">
        <v>474</v>
      </c>
      <c r="U15" s="458" t="s">
        <v>476</v>
      </c>
    </row>
    <row r="16" spans="1:21" s="387" customFormat="1" ht="13.5">
      <c r="A16" s="380" t="s">
        <v>224</v>
      </c>
      <c r="B16" s="381">
        <v>13.6</v>
      </c>
      <c r="C16" s="382">
        <f t="shared" si="0"/>
        <v>1055.1415166479537</v>
      </c>
      <c r="D16" s="381">
        <v>6.2</v>
      </c>
      <c r="E16" s="381">
        <v>25</v>
      </c>
      <c r="F16" s="383">
        <v>33</v>
      </c>
      <c r="G16" s="384"/>
      <c r="H16" s="396" t="s">
        <v>225</v>
      </c>
      <c r="I16" s="397">
        <v>69.25</v>
      </c>
      <c r="J16" s="398">
        <v>120</v>
      </c>
      <c r="K16" s="384"/>
      <c r="L16" s="399" t="s">
        <v>323</v>
      </c>
      <c r="M16" s="394">
        <v>71</v>
      </c>
      <c r="N16" s="436" t="s">
        <v>367</v>
      </c>
      <c r="O16" s="441"/>
      <c r="P16" s="454" t="s">
        <v>477</v>
      </c>
      <c r="Q16" s="446">
        <v>4.5</v>
      </c>
      <c r="R16" s="446" t="s">
        <v>87</v>
      </c>
      <c r="S16" s="451" t="s">
        <v>478</v>
      </c>
      <c r="T16" s="451" t="s">
        <v>479</v>
      </c>
      <c r="U16" s="457" t="s">
        <v>486</v>
      </c>
    </row>
    <row r="17" spans="1:21" s="387" customFormat="1" ht="25.5">
      <c r="A17" s="392" t="s">
        <v>226</v>
      </c>
      <c r="B17" s="393">
        <v>7.5</v>
      </c>
      <c r="C17" s="394">
        <f t="shared" si="0"/>
        <v>1029.7615061703043</v>
      </c>
      <c r="D17" s="393">
        <v>7.8</v>
      </c>
      <c r="E17" s="393">
        <v>40</v>
      </c>
      <c r="F17" s="395">
        <v>18</v>
      </c>
      <c r="G17" s="384"/>
      <c r="H17" s="400" t="s">
        <v>611</v>
      </c>
      <c r="I17" s="401" t="s">
        <v>613</v>
      </c>
      <c r="J17" s="402" t="s">
        <v>612</v>
      </c>
      <c r="K17" s="384"/>
      <c r="L17" s="403" t="s">
        <v>324</v>
      </c>
      <c r="M17" s="382">
        <v>75</v>
      </c>
      <c r="N17" s="437" t="s">
        <v>369</v>
      </c>
      <c r="O17" s="442"/>
      <c r="P17" s="455" t="s">
        <v>480</v>
      </c>
      <c r="Q17" s="447">
        <v>6.5</v>
      </c>
      <c r="R17" s="447" t="s">
        <v>87</v>
      </c>
      <c r="S17" s="452" t="s">
        <v>481</v>
      </c>
      <c r="T17" s="452" t="s">
        <v>482</v>
      </c>
      <c r="U17" s="458" t="s">
        <v>483</v>
      </c>
    </row>
    <row r="18" spans="1:21" s="387" customFormat="1" ht="13.5">
      <c r="A18" s="380" t="s">
        <v>227</v>
      </c>
      <c r="B18" s="381">
        <v>19</v>
      </c>
      <c r="C18" s="382">
        <f t="shared" si="0"/>
        <v>1078.5485712324953</v>
      </c>
      <c r="D18" s="381">
        <v>9.2</v>
      </c>
      <c r="E18" s="381">
        <v>63</v>
      </c>
      <c r="F18" s="383">
        <v>22</v>
      </c>
      <c r="G18" s="384"/>
      <c r="H18" s="613" t="s">
        <v>228</v>
      </c>
      <c r="I18" s="613"/>
      <c r="J18" s="613"/>
      <c r="K18" s="384"/>
      <c r="L18" s="399" t="s">
        <v>325</v>
      </c>
      <c r="M18" s="394">
        <v>75</v>
      </c>
      <c r="N18" s="436" t="s">
        <v>370</v>
      </c>
      <c r="O18" s="441"/>
      <c r="P18" s="454" t="s">
        <v>479</v>
      </c>
      <c r="Q18" s="446">
        <v>5.5</v>
      </c>
      <c r="R18" s="446" t="s">
        <v>87</v>
      </c>
      <c r="S18" s="451" t="s">
        <v>484</v>
      </c>
      <c r="T18" s="451" t="s">
        <v>485</v>
      </c>
      <c r="U18" s="457" t="s">
        <v>487</v>
      </c>
    </row>
    <row r="19" spans="1:21" s="387" customFormat="1" ht="12.75" customHeight="1">
      <c r="A19" s="392" t="s">
        <v>229</v>
      </c>
      <c r="B19" s="393">
        <v>23</v>
      </c>
      <c r="C19" s="394">
        <f t="shared" si="0"/>
        <v>1096.488510420864</v>
      </c>
      <c r="D19" s="393">
        <v>11.3</v>
      </c>
      <c r="E19" s="393">
        <v>90</v>
      </c>
      <c r="F19" s="395">
        <v>27</v>
      </c>
      <c r="G19" s="384"/>
      <c r="H19" s="396" t="s">
        <v>230</v>
      </c>
      <c r="I19" s="397">
        <v>80.07</v>
      </c>
      <c r="J19" s="398">
        <v>3</v>
      </c>
      <c r="K19" s="384"/>
      <c r="L19" s="403" t="s">
        <v>326</v>
      </c>
      <c r="M19" s="382">
        <v>72</v>
      </c>
      <c r="N19" s="437" t="s">
        <v>368</v>
      </c>
      <c r="O19" s="442"/>
      <c r="P19" s="455" t="s">
        <v>488</v>
      </c>
      <c r="Q19" s="447">
        <v>2.5</v>
      </c>
      <c r="R19" s="447" t="s">
        <v>87</v>
      </c>
      <c r="S19" s="452" t="s">
        <v>489</v>
      </c>
      <c r="T19" s="452" t="s">
        <v>490</v>
      </c>
      <c r="U19" s="458" t="s">
        <v>491</v>
      </c>
    </row>
    <row r="20" spans="1:21" s="387" customFormat="1" ht="13.5">
      <c r="A20" s="380" t="s">
        <v>231</v>
      </c>
      <c r="B20" s="381">
        <v>15.6</v>
      </c>
      <c r="C20" s="382">
        <f t="shared" si="0"/>
        <v>1063.7049266205001</v>
      </c>
      <c r="D20" s="381">
        <v>7.3</v>
      </c>
      <c r="E20" s="381">
        <v>74</v>
      </c>
      <c r="F20" s="383">
        <v>25</v>
      </c>
      <c r="G20" s="384"/>
      <c r="H20" s="400" t="s">
        <v>232</v>
      </c>
      <c r="I20" s="401">
        <v>80.07</v>
      </c>
      <c r="J20" s="402">
        <v>6</v>
      </c>
      <c r="K20" s="384"/>
      <c r="L20" s="399" t="s">
        <v>327</v>
      </c>
      <c r="M20" s="394">
        <v>75</v>
      </c>
      <c r="N20" s="436" t="s">
        <v>371</v>
      </c>
      <c r="O20" s="441"/>
      <c r="P20" s="454" t="s">
        <v>492</v>
      </c>
      <c r="Q20" s="446">
        <v>3.7</v>
      </c>
      <c r="R20" s="446" t="s">
        <v>87</v>
      </c>
      <c r="S20" s="451" t="s">
        <v>493</v>
      </c>
      <c r="T20" s="451" t="s">
        <v>494</v>
      </c>
      <c r="U20" s="457" t="s">
        <v>495</v>
      </c>
    </row>
    <row r="21" spans="1:21" s="387" customFormat="1" ht="13.5">
      <c r="A21" s="392" t="s">
        <v>233</v>
      </c>
      <c r="B21" s="393">
        <v>19.6</v>
      </c>
      <c r="C21" s="394">
        <f t="shared" si="0"/>
        <v>1081.206220628518</v>
      </c>
      <c r="D21" s="393">
        <v>9.6</v>
      </c>
      <c r="E21" s="393">
        <v>15</v>
      </c>
      <c r="F21" s="395">
        <v>39</v>
      </c>
      <c r="G21" s="384"/>
      <c r="H21" s="396" t="s">
        <v>234</v>
      </c>
      <c r="I21" s="397">
        <v>84.4</v>
      </c>
      <c r="J21" s="398">
        <v>4</v>
      </c>
      <c r="K21" s="384"/>
      <c r="L21" s="403" t="s">
        <v>328</v>
      </c>
      <c r="M21" s="382">
        <v>75</v>
      </c>
      <c r="N21" s="437" t="s">
        <v>372</v>
      </c>
      <c r="O21" s="442"/>
      <c r="P21" s="455" t="s">
        <v>496</v>
      </c>
      <c r="Q21" s="447">
        <v>11.5</v>
      </c>
      <c r="R21" s="447" t="s">
        <v>92</v>
      </c>
      <c r="S21" s="452" t="s">
        <v>497</v>
      </c>
      <c r="T21" s="452" t="s">
        <v>498</v>
      </c>
      <c r="U21" s="458" t="s">
        <v>499</v>
      </c>
    </row>
    <row r="22" spans="1:21" s="387" customFormat="1" ht="13.5">
      <c r="A22" s="380" t="s">
        <v>235</v>
      </c>
      <c r="B22" s="381">
        <v>12.6</v>
      </c>
      <c r="C22" s="382">
        <f t="shared" si="0"/>
        <v>1050.9054565680099</v>
      </c>
      <c r="D22" s="381">
        <v>5.6</v>
      </c>
      <c r="E22" s="381">
        <v>9</v>
      </c>
      <c r="F22" s="383">
        <v>41</v>
      </c>
      <c r="G22" s="384"/>
      <c r="H22" s="400" t="s">
        <v>212</v>
      </c>
      <c r="I22" s="401">
        <v>84.4</v>
      </c>
      <c r="J22" s="402">
        <v>20</v>
      </c>
      <c r="K22" s="384"/>
      <c r="L22" s="399" t="s">
        <v>375</v>
      </c>
      <c r="M22" s="394">
        <v>75</v>
      </c>
      <c r="N22" s="436" t="s">
        <v>373</v>
      </c>
      <c r="O22" s="441"/>
      <c r="P22" s="454" t="s">
        <v>500</v>
      </c>
      <c r="Q22" s="446">
        <v>15</v>
      </c>
      <c r="R22" s="446" t="s">
        <v>92</v>
      </c>
      <c r="S22" s="451" t="s">
        <v>501</v>
      </c>
      <c r="T22" s="451" t="s">
        <v>502</v>
      </c>
      <c r="U22" s="457" t="s">
        <v>504</v>
      </c>
    </row>
    <row r="23" spans="1:21" s="387" customFormat="1" ht="13.5">
      <c r="A23" s="392" t="s">
        <v>236</v>
      </c>
      <c r="B23" s="393">
        <v>17.6</v>
      </c>
      <c r="C23" s="394">
        <f t="shared" si="0"/>
        <v>1072.3922581086733</v>
      </c>
      <c r="D23" s="393">
        <v>8.3</v>
      </c>
      <c r="E23" s="393">
        <v>72</v>
      </c>
      <c r="F23" s="395">
        <v>35</v>
      </c>
      <c r="G23" s="384"/>
      <c r="H23" s="396" t="s">
        <v>237</v>
      </c>
      <c r="I23" s="397">
        <v>82.23</v>
      </c>
      <c r="J23" s="398">
        <v>12</v>
      </c>
      <c r="K23" s="384"/>
      <c r="L23" s="403" t="s">
        <v>329</v>
      </c>
      <c r="M23" s="382">
        <v>73</v>
      </c>
      <c r="N23" s="437" t="s">
        <v>374</v>
      </c>
      <c r="O23" s="442"/>
      <c r="P23" s="455" t="s">
        <v>505</v>
      </c>
      <c r="Q23" s="447">
        <v>9</v>
      </c>
      <c r="R23" s="447" t="s">
        <v>92</v>
      </c>
      <c r="S23" s="452" t="s">
        <v>506</v>
      </c>
      <c r="T23" s="452" t="s">
        <v>507</v>
      </c>
      <c r="U23" s="458" t="s">
        <v>508</v>
      </c>
    </row>
    <row r="24" spans="1:21" s="387" customFormat="1" ht="24">
      <c r="A24" s="380" t="s">
        <v>238</v>
      </c>
      <c r="B24" s="381">
        <v>21.5</v>
      </c>
      <c r="C24" s="382">
        <f t="shared" si="0"/>
        <v>1089.699316418198</v>
      </c>
      <c r="D24" s="381">
        <v>10.2</v>
      </c>
      <c r="E24" s="381">
        <v>79</v>
      </c>
      <c r="F24" s="383">
        <v>38</v>
      </c>
      <c r="G24" s="384"/>
      <c r="H24" s="400" t="s">
        <v>239</v>
      </c>
      <c r="I24" s="401">
        <v>80.07</v>
      </c>
      <c r="J24" s="402">
        <v>17</v>
      </c>
      <c r="K24" s="384"/>
      <c r="L24" s="399" t="s">
        <v>330</v>
      </c>
      <c r="M24" s="394">
        <v>75</v>
      </c>
      <c r="N24" s="436" t="s">
        <v>376</v>
      </c>
      <c r="O24" s="441"/>
      <c r="P24" s="454" t="s">
        <v>510</v>
      </c>
      <c r="Q24" s="446">
        <v>11</v>
      </c>
      <c r="R24" s="446" t="s">
        <v>84</v>
      </c>
      <c r="S24" s="451" t="s">
        <v>509</v>
      </c>
      <c r="T24" s="451" t="s">
        <v>511</v>
      </c>
      <c r="U24" s="457" t="s">
        <v>503</v>
      </c>
    </row>
    <row r="25" spans="1:21" s="391" customFormat="1" ht="13.5">
      <c r="A25" s="618" t="s">
        <v>204</v>
      </c>
      <c r="B25" s="619"/>
      <c r="C25" s="619"/>
      <c r="D25" s="619"/>
      <c r="E25" s="619"/>
      <c r="F25" s="619"/>
      <c r="G25" s="388"/>
      <c r="H25" s="396" t="s">
        <v>240</v>
      </c>
      <c r="I25" s="397">
        <v>80.07</v>
      </c>
      <c r="J25" s="398">
        <v>4</v>
      </c>
      <c r="K25" s="388"/>
      <c r="L25" s="403" t="s">
        <v>335</v>
      </c>
      <c r="M25" s="382">
        <v>75</v>
      </c>
      <c r="N25" s="437" t="s">
        <v>336</v>
      </c>
      <c r="O25" s="442"/>
      <c r="P25" s="455" t="s">
        <v>512</v>
      </c>
      <c r="Q25" s="447">
        <v>6</v>
      </c>
      <c r="R25" s="447" t="s">
        <v>87</v>
      </c>
      <c r="S25" s="452" t="s">
        <v>513</v>
      </c>
      <c r="T25" s="452" t="s">
        <v>515</v>
      </c>
      <c r="U25" s="458" t="s">
        <v>514</v>
      </c>
    </row>
    <row r="26" spans="1:21" s="387" customFormat="1" ht="13.5">
      <c r="A26" s="380" t="s">
        <v>241</v>
      </c>
      <c r="B26" s="381">
        <v>19.2</v>
      </c>
      <c r="C26" s="382">
        <f t="shared" si="0"/>
        <v>1079.4331649350238</v>
      </c>
      <c r="D26" s="381">
        <v>8.9</v>
      </c>
      <c r="E26" s="381">
        <v>25</v>
      </c>
      <c r="F26" s="383">
        <v>30</v>
      </c>
      <c r="G26" s="384"/>
      <c r="H26" s="400" t="s">
        <v>242</v>
      </c>
      <c r="I26" s="401">
        <v>79</v>
      </c>
      <c r="J26" s="402">
        <v>22</v>
      </c>
      <c r="K26" s="384"/>
      <c r="L26" s="399" t="s">
        <v>341</v>
      </c>
      <c r="M26" s="394">
        <v>75</v>
      </c>
      <c r="N26" s="436" t="s">
        <v>377</v>
      </c>
      <c r="O26" s="441"/>
      <c r="P26" s="454" t="s">
        <v>516</v>
      </c>
      <c r="Q26" s="446">
        <v>10</v>
      </c>
      <c r="R26" s="446" t="s">
        <v>84</v>
      </c>
      <c r="S26" s="451" t="s">
        <v>517</v>
      </c>
      <c r="T26" s="451" t="s">
        <v>518</v>
      </c>
      <c r="U26" s="457" t="s">
        <v>519</v>
      </c>
    </row>
    <row r="27" spans="1:21" s="387" customFormat="1" ht="13.5">
      <c r="A27" s="392" t="s">
        <v>243</v>
      </c>
      <c r="B27" s="393">
        <v>15.8</v>
      </c>
      <c r="C27" s="394">
        <f t="shared" si="0"/>
        <v>1064.5680392047325</v>
      </c>
      <c r="D27" s="393">
        <v>6.8</v>
      </c>
      <c r="E27" s="393">
        <v>18</v>
      </c>
      <c r="F27" s="395">
        <v>18</v>
      </c>
      <c r="G27" s="384"/>
      <c r="H27" s="396" t="s">
        <v>244</v>
      </c>
      <c r="I27" s="397">
        <v>78</v>
      </c>
      <c r="J27" s="398">
        <v>39</v>
      </c>
      <c r="K27" s="384"/>
      <c r="L27" s="403" t="s">
        <v>342</v>
      </c>
      <c r="M27" s="382">
        <v>74</v>
      </c>
      <c r="N27" s="437" t="s">
        <v>343</v>
      </c>
      <c r="O27" s="442"/>
      <c r="P27" s="455" t="s">
        <v>520</v>
      </c>
      <c r="Q27" s="447">
        <v>9</v>
      </c>
      <c r="R27" s="447" t="s">
        <v>84</v>
      </c>
      <c r="S27" s="452" t="s">
        <v>521</v>
      </c>
      <c r="T27" s="452" t="s">
        <v>522</v>
      </c>
      <c r="U27" s="458" t="s">
        <v>523</v>
      </c>
    </row>
    <row r="28" spans="1:21" s="387" customFormat="1" ht="13.5">
      <c r="A28" s="380"/>
      <c r="B28" s="381"/>
      <c r="C28" s="382">
        <f t="shared" si="0"/>
      </c>
      <c r="D28" s="381"/>
      <c r="E28" s="381"/>
      <c r="F28" s="383"/>
      <c r="G28" s="384"/>
      <c r="H28" s="400" t="s">
        <v>245</v>
      </c>
      <c r="I28" s="401">
        <v>78</v>
      </c>
      <c r="J28" s="402">
        <v>55.00912309957529</v>
      </c>
      <c r="K28" s="384"/>
      <c r="L28" s="399" t="s">
        <v>344</v>
      </c>
      <c r="M28" s="394">
        <v>77</v>
      </c>
      <c r="N28" s="436" t="s">
        <v>378</v>
      </c>
      <c r="O28" s="441"/>
      <c r="P28" s="454" t="s">
        <v>524</v>
      </c>
      <c r="Q28" s="446">
        <v>4.5</v>
      </c>
      <c r="R28" s="446" t="s">
        <v>87</v>
      </c>
      <c r="S28" s="451" t="s">
        <v>525</v>
      </c>
      <c r="T28" s="451" t="s">
        <v>542</v>
      </c>
      <c r="U28" s="457" t="s">
        <v>526</v>
      </c>
    </row>
    <row r="29" spans="1:21" s="387" customFormat="1" ht="13.5">
      <c r="A29" s="380" t="s">
        <v>246</v>
      </c>
      <c r="B29" s="381">
        <v>10.7</v>
      </c>
      <c r="C29" s="382">
        <f t="shared" si="0"/>
        <v>1042.9393269517334</v>
      </c>
      <c r="D29" s="381">
        <v>4.5</v>
      </c>
      <c r="E29" s="381">
        <v>19</v>
      </c>
      <c r="F29" s="383">
        <v>30</v>
      </c>
      <c r="G29" s="384"/>
      <c r="H29" s="396" t="s">
        <v>247</v>
      </c>
      <c r="I29" s="397">
        <v>77</v>
      </c>
      <c r="J29" s="398">
        <v>256.01757983999784</v>
      </c>
      <c r="K29" s="384"/>
      <c r="L29" s="403" t="s">
        <v>345</v>
      </c>
      <c r="M29" s="382">
        <v>73</v>
      </c>
      <c r="N29" s="437" t="s">
        <v>379</v>
      </c>
      <c r="O29" s="442"/>
      <c r="P29" s="455" t="s">
        <v>541</v>
      </c>
      <c r="Q29" s="447">
        <v>5</v>
      </c>
      <c r="R29" s="447" t="s">
        <v>87</v>
      </c>
      <c r="S29" s="452" t="s">
        <v>544</v>
      </c>
      <c r="T29" s="452" t="s">
        <v>543</v>
      </c>
      <c r="U29" s="458" t="s">
        <v>545</v>
      </c>
    </row>
    <row r="30" spans="1:21" s="387" customFormat="1" ht="13.5">
      <c r="A30" s="392" t="s">
        <v>248</v>
      </c>
      <c r="B30" s="393">
        <v>11.4</v>
      </c>
      <c r="C30" s="394">
        <f t="shared" si="0"/>
        <v>1045.861755049711</v>
      </c>
      <c r="D30" s="393">
        <v>4.8</v>
      </c>
      <c r="E30" s="393">
        <v>4</v>
      </c>
      <c r="F30" s="395">
        <v>38</v>
      </c>
      <c r="G30" s="384"/>
      <c r="H30" s="400" t="s">
        <v>249</v>
      </c>
      <c r="I30" s="401">
        <v>78</v>
      </c>
      <c r="J30" s="402">
        <v>85</v>
      </c>
      <c r="K30" s="384"/>
      <c r="L30" s="399" t="s">
        <v>346</v>
      </c>
      <c r="M30" s="394">
        <v>73</v>
      </c>
      <c r="N30" s="436" t="s">
        <v>353</v>
      </c>
      <c r="O30" s="441"/>
      <c r="P30" s="454" t="s">
        <v>527</v>
      </c>
      <c r="Q30" s="446">
        <v>4</v>
      </c>
      <c r="R30" s="446" t="s">
        <v>87</v>
      </c>
      <c r="S30" s="451" t="s">
        <v>528</v>
      </c>
      <c r="T30" s="451" t="s">
        <v>529</v>
      </c>
      <c r="U30" s="457" t="s">
        <v>530</v>
      </c>
    </row>
    <row r="31" spans="1:21" s="387" customFormat="1" ht="13.5">
      <c r="A31" s="380" t="s">
        <v>250</v>
      </c>
      <c r="B31" s="381">
        <v>12.8</v>
      </c>
      <c r="C31" s="382">
        <f t="shared" si="0"/>
        <v>1051.7502584278532</v>
      </c>
      <c r="D31" s="381">
        <v>5.4</v>
      </c>
      <c r="E31" s="381">
        <v>9</v>
      </c>
      <c r="F31" s="383">
        <v>15</v>
      </c>
      <c r="G31" s="384"/>
      <c r="H31" s="396" t="s">
        <v>251</v>
      </c>
      <c r="I31" s="397">
        <v>78</v>
      </c>
      <c r="J31" s="398">
        <v>91</v>
      </c>
      <c r="K31" s="384"/>
      <c r="L31" s="403" t="s">
        <v>347</v>
      </c>
      <c r="M31" s="382">
        <v>78</v>
      </c>
      <c r="N31" s="437" t="s">
        <v>352</v>
      </c>
      <c r="O31" s="442"/>
      <c r="P31" s="455" t="s">
        <v>531</v>
      </c>
      <c r="Q31" s="447">
        <v>3.8</v>
      </c>
      <c r="R31" s="447" t="s">
        <v>87</v>
      </c>
      <c r="S31" s="452" t="s">
        <v>532</v>
      </c>
      <c r="T31" s="452" t="s">
        <v>459</v>
      </c>
      <c r="U31" s="458" t="s">
        <v>533</v>
      </c>
    </row>
    <row r="32" spans="1:21" s="387" customFormat="1" ht="13.5">
      <c r="A32" s="392" t="s">
        <v>252</v>
      </c>
      <c r="B32" s="393">
        <v>16.5</v>
      </c>
      <c r="C32" s="394">
        <f t="shared" si="0"/>
        <v>1067.5987302500323</v>
      </c>
      <c r="D32" s="393">
        <v>7.7</v>
      </c>
      <c r="E32" s="393">
        <v>76</v>
      </c>
      <c r="F32" s="395">
        <v>26</v>
      </c>
      <c r="G32" s="384"/>
      <c r="H32" s="400" t="s">
        <v>253</v>
      </c>
      <c r="I32" s="401">
        <v>78</v>
      </c>
      <c r="J32" s="402">
        <v>112</v>
      </c>
      <c r="K32" s="384"/>
      <c r="L32" s="399" t="s">
        <v>348</v>
      </c>
      <c r="M32" s="394">
        <v>78</v>
      </c>
      <c r="N32" s="436" t="s">
        <v>351</v>
      </c>
      <c r="O32" s="441"/>
      <c r="P32" s="454" t="s">
        <v>534</v>
      </c>
      <c r="Q32" s="446">
        <v>11</v>
      </c>
      <c r="R32" s="446" t="s">
        <v>84</v>
      </c>
      <c r="S32" s="451" t="s">
        <v>535</v>
      </c>
      <c r="T32" s="451" t="s">
        <v>536</v>
      </c>
      <c r="U32" s="457" t="s">
        <v>537</v>
      </c>
    </row>
    <row r="33" spans="1:21" s="387" customFormat="1" ht="13.5">
      <c r="A33" s="380" t="s">
        <v>254</v>
      </c>
      <c r="B33" s="381">
        <v>12</v>
      </c>
      <c r="C33" s="382">
        <f t="shared" si="0"/>
        <v>1048.378240435017</v>
      </c>
      <c r="D33" s="381">
        <v>5</v>
      </c>
      <c r="E33" s="381">
        <v>22</v>
      </c>
      <c r="F33" s="383">
        <v>24</v>
      </c>
      <c r="G33" s="384"/>
      <c r="H33" s="396" t="s">
        <v>255</v>
      </c>
      <c r="I33" s="397">
        <v>69.25</v>
      </c>
      <c r="J33" s="398">
        <v>630</v>
      </c>
      <c r="K33" s="384"/>
      <c r="L33" s="403" t="s">
        <v>349</v>
      </c>
      <c r="M33" s="382">
        <v>79</v>
      </c>
      <c r="N33" s="437" t="s">
        <v>350</v>
      </c>
      <c r="O33" s="442"/>
      <c r="P33" s="455" t="s">
        <v>538</v>
      </c>
      <c r="Q33" s="447">
        <v>4</v>
      </c>
      <c r="R33" s="447" t="s">
        <v>87</v>
      </c>
      <c r="S33" s="452" t="s">
        <v>539</v>
      </c>
      <c r="T33" s="452" t="s">
        <v>540</v>
      </c>
      <c r="U33" s="458" t="s">
        <v>550</v>
      </c>
    </row>
    <row r="34" spans="1:21" s="387" customFormat="1" ht="13.5">
      <c r="A34" s="392" t="s">
        <v>256</v>
      </c>
      <c r="B34" s="393">
        <v>14</v>
      </c>
      <c r="C34" s="394">
        <f t="shared" si="0"/>
        <v>1056.8444123769775</v>
      </c>
      <c r="D34" s="393">
        <v>6</v>
      </c>
      <c r="E34" s="393">
        <v>10</v>
      </c>
      <c r="F34" s="395">
        <v>28</v>
      </c>
      <c r="G34" s="384"/>
      <c r="H34" s="400" t="s">
        <v>257</v>
      </c>
      <c r="I34" s="401">
        <v>69.25</v>
      </c>
      <c r="J34" s="402">
        <v>1024</v>
      </c>
      <c r="K34" s="384"/>
      <c r="L34" s="399" t="s">
        <v>380</v>
      </c>
      <c r="M34" s="394">
        <v>74</v>
      </c>
      <c r="N34" s="436" t="s">
        <v>381</v>
      </c>
      <c r="O34" s="441"/>
      <c r="P34" s="454" t="s">
        <v>549</v>
      </c>
      <c r="Q34" s="446">
        <v>5.5</v>
      </c>
      <c r="R34" s="446" t="s">
        <v>87</v>
      </c>
      <c r="S34" s="451" t="s">
        <v>546</v>
      </c>
      <c r="T34" s="451" t="s">
        <v>547</v>
      </c>
      <c r="U34" s="457" t="s">
        <v>548</v>
      </c>
    </row>
    <row r="35" spans="1:21" s="387" customFormat="1" ht="27">
      <c r="A35" s="380" t="s">
        <v>258</v>
      </c>
      <c r="B35" s="381">
        <v>18.7</v>
      </c>
      <c r="C35" s="382">
        <f t="shared" si="0"/>
        <v>1077.224090455592</v>
      </c>
      <c r="D35" s="381">
        <v>8.1</v>
      </c>
      <c r="E35" s="381">
        <v>35</v>
      </c>
      <c r="F35" s="383">
        <v>60</v>
      </c>
      <c r="G35" s="384"/>
      <c r="H35" s="396" t="s">
        <v>259</v>
      </c>
      <c r="I35" s="397">
        <v>69.25</v>
      </c>
      <c r="J35" s="398">
        <v>1084</v>
      </c>
      <c r="K35" s="384"/>
      <c r="L35" s="403" t="s">
        <v>382</v>
      </c>
      <c r="M35" s="382">
        <v>73</v>
      </c>
      <c r="N35" s="437" t="s">
        <v>383</v>
      </c>
      <c r="O35" s="442"/>
      <c r="P35" s="455" t="s">
        <v>551</v>
      </c>
      <c r="Q35" s="447">
        <v>6.5</v>
      </c>
      <c r="R35" s="447" t="s">
        <v>84</v>
      </c>
      <c r="S35" s="452" t="s">
        <v>552</v>
      </c>
      <c r="T35" s="452" t="s">
        <v>522</v>
      </c>
      <c r="U35" s="458" t="s">
        <v>553</v>
      </c>
    </row>
    <row r="36" spans="1:21" s="387" customFormat="1" ht="12.75" customHeight="1">
      <c r="A36" s="392" t="s">
        <v>260</v>
      </c>
      <c r="B36" s="393">
        <v>17</v>
      </c>
      <c r="C36" s="394">
        <f t="shared" si="0"/>
        <v>1069.7728872000203</v>
      </c>
      <c r="D36" s="393">
        <v>8.5</v>
      </c>
      <c r="E36" s="393">
        <v>11</v>
      </c>
      <c r="F36" s="395">
        <v>32</v>
      </c>
      <c r="G36" s="384"/>
      <c r="H36" s="400" t="s">
        <v>261</v>
      </c>
      <c r="I36" s="401">
        <v>72.25</v>
      </c>
      <c r="J36" s="402">
        <v>663.9417359302649</v>
      </c>
      <c r="K36" s="384"/>
      <c r="L36" s="399"/>
      <c r="M36" s="394"/>
      <c r="N36" s="436"/>
      <c r="O36" s="443"/>
      <c r="P36" s="460"/>
      <c r="Q36" s="448"/>
      <c r="R36" s="448"/>
      <c r="S36" s="453"/>
      <c r="T36" s="456"/>
      <c r="U36" s="459"/>
    </row>
    <row r="37" spans="1:21" s="387" customFormat="1" ht="13.5">
      <c r="A37" s="380" t="s">
        <v>262</v>
      </c>
      <c r="B37" s="381">
        <v>16.3</v>
      </c>
      <c r="C37" s="382">
        <f t="shared" si="0"/>
        <v>1066.731259523661</v>
      </c>
      <c r="D37" s="381">
        <v>7.5</v>
      </c>
      <c r="E37" s="381">
        <v>15</v>
      </c>
      <c r="F37" s="383">
        <v>38</v>
      </c>
      <c r="G37" s="384"/>
      <c r="H37" s="396" t="s">
        <v>263</v>
      </c>
      <c r="I37" s="397">
        <v>69.25</v>
      </c>
      <c r="J37" s="398">
        <v>837</v>
      </c>
      <c r="K37" s="384"/>
      <c r="L37" s="403"/>
      <c r="M37" s="382"/>
      <c r="N37" s="437"/>
      <c r="O37" s="441"/>
      <c r="P37" s="454" t="s">
        <v>554</v>
      </c>
      <c r="Q37" s="446">
        <v>5</v>
      </c>
      <c r="R37" s="446" t="s">
        <v>87</v>
      </c>
      <c r="S37" s="451" t="s">
        <v>555</v>
      </c>
      <c r="T37" s="451" t="s">
        <v>556</v>
      </c>
      <c r="U37" s="457" t="s">
        <v>557</v>
      </c>
    </row>
    <row r="38" spans="1:21" s="387" customFormat="1" ht="10.5" customHeight="1">
      <c r="A38" s="392" t="s">
        <v>264</v>
      </c>
      <c r="B38" s="393">
        <v>12.6</v>
      </c>
      <c r="C38" s="394">
        <f t="shared" si="0"/>
        <v>1050.9054565680099</v>
      </c>
      <c r="D38" s="393">
        <v>5.3</v>
      </c>
      <c r="E38" s="393">
        <v>9</v>
      </c>
      <c r="F38" s="395">
        <v>18</v>
      </c>
      <c r="G38" s="384"/>
      <c r="H38" s="400" t="s">
        <v>265</v>
      </c>
      <c r="I38" s="401">
        <v>69.25</v>
      </c>
      <c r="J38" s="402">
        <v>926</v>
      </c>
      <c r="K38" s="384"/>
      <c r="L38" s="399"/>
      <c r="M38" s="394"/>
      <c r="N38" s="436"/>
      <c r="O38" s="442"/>
      <c r="P38" s="455" t="s">
        <v>558</v>
      </c>
      <c r="Q38" s="447">
        <v>10</v>
      </c>
      <c r="R38" s="447" t="s">
        <v>92</v>
      </c>
      <c r="S38" s="452" t="s">
        <v>561</v>
      </c>
      <c r="T38" s="452" t="s">
        <v>559</v>
      </c>
      <c r="U38" s="458" t="s">
        <v>560</v>
      </c>
    </row>
    <row r="39" spans="1:21" s="387" customFormat="1" ht="13.5">
      <c r="A39" s="380" t="s">
        <v>266</v>
      </c>
      <c r="B39" s="381">
        <v>11.9</v>
      </c>
      <c r="C39" s="382">
        <f t="shared" si="0"/>
        <v>1047.9580828623382</v>
      </c>
      <c r="D39" s="381">
        <v>5</v>
      </c>
      <c r="E39" s="381">
        <v>3</v>
      </c>
      <c r="F39" s="383">
        <v>27</v>
      </c>
      <c r="G39" s="384"/>
      <c r="H39" s="396" t="s">
        <v>267</v>
      </c>
      <c r="I39" s="397">
        <v>77.91</v>
      </c>
      <c r="J39" s="398">
        <v>140</v>
      </c>
      <c r="K39" s="384"/>
      <c r="L39" s="403"/>
      <c r="M39" s="382"/>
      <c r="N39" s="437"/>
      <c r="O39" s="441"/>
      <c r="P39" s="454"/>
      <c r="Q39" s="446"/>
      <c r="R39" s="446"/>
      <c r="S39" s="451"/>
      <c r="T39" s="451"/>
      <c r="U39" s="457"/>
    </row>
    <row r="40" spans="1:21" s="387" customFormat="1" ht="13.5">
      <c r="A40" s="392" t="s">
        <v>268</v>
      </c>
      <c r="B40" s="393">
        <v>11.9</v>
      </c>
      <c r="C40" s="394">
        <f t="shared" si="0"/>
        <v>1047.9580828623382</v>
      </c>
      <c r="D40" s="393">
        <v>4.6</v>
      </c>
      <c r="E40" s="393">
        <v>200</v>
      </c>
      <c r="F40" s="395">
        <v>45</v>
      </c>
      <c r="G40" s="384"/>
      <c r="H40" s="400" t="s">
        <v>269</v>
      </c>
      <c r="I40" s="401">
        <v>80.07</v>
      </c>
      <c r="J40" s="402">
        <v>65</v>
      </c>
      <c r="K40" s="384"/>
      <c r="L40" s="399"/>
      <c r="M40" s="394"/>
      <c r="N40" s="436"/>
      <c r="O40" s="442"/>
      <c r="P40" s="455"/>
      <c r="Q40" s="447"/>
      <c r="R40" s="447"/>
      <c r="S40" s="452"/>
      <c r="T40" s="452"/>
      <c r="U40" s="458"/>
    </row>
    <row r="41" spans="1:21" s="387" customFormat="1" ht="13.5">
      <c r="A41" s="380" t="s">
        <v>270</v>
      </c>
      <c r="B41" s="381">
        <v>17.6</v>
      </c>
      <c r="C41" s="382">
        <f t="shared" si="0"/>
        <v>1072.3922581086733</v>
      </c>
      <c r="D41" s="381">
        <v>7.2</v>
      </c>
      <c r="E41" s="381">
        <v>200</v>
      </c>
      <c r="F41" s="383">
        <v>65</v>
      </c>
      <c r="G41" s="384"/>
      <c r="H41" s="396" t="s">
        <v>271</v>
      </c>
      <c r="I41" s="397">
        <v>80.07</v>
      </c>
      <c r="J41" s="398">
        <v>4.006847491642186</v>
      </c>
      <c r="K41" s="384"/>
      <c r="L41" s="413" t="s">
        <v>385</v>
      </c>
      <c r="M41" s="414"/>
      <c r="N41" s="415"/>
      <c r="O41" s="441"/>
      <c r="P41" s="454"/>
      <c r="Q41" s="446"/>
      <c r="R41" s="446"/>
      <c r="S41" s="451"/>
      <c r="T41" s="451"/>
      <c r="U41" s="457"/>
    </row>
    <row r="42" spans="1:21" s="387" customFormat="1" ht="13.5">
      <c r="A42" s="392" t="s">
        <v>272</v>
      </c>
      <c r="B42" s="393">
        <v>11.9</v>
      </c>
      <c r="C42" s="394">
        <f t="shared" si="0"/>
        <v>1047.9580828623382</v>
      </c>
      <c r="D42" s="393">
        <v>5</v>
      </c>
      <c r="E42" s="393">
        <v>5</v>
      </c>
      <c r="F42" s="395">
        <v>28</v>
      </c>
      <c r="G42" s="384"/>
      <c r="H42" s="400" t="s">
        <v>273</v>
      </c>
      <c r="I42" s="401">
        <v>69.25</v>
      </c>
      <c r="J42" s="402">
        <v>3</v>
      </c>
      <c r="K42" s="384"/>
      <c r="L42" s="399" t="s">
        <v>391</v>
      </c>
      <c r="M42" s="394">
        <v>72</v>
      </c>
      <c r="N42" s="436" t="s">
        <v>397</v>
      </c>
      <c r="O42" s="442"/>
      <c r="P42" s="455"/>
      <c r="Q42" s="447"/>
      <c r="R42" s="447"/>
      <c r="S42" s="452"/>
      <c r="T42" s="452"/>
      <c r="U42" s="458"/>
    </row>
    <row r="43" spans="1:21" s="387" customFormat="1" ht="13.5">
      <c r="A43" s="380" t="s">
        <v>274</v>
      </c>
      <c r="B43" s="381">
        <v>11.9</v>
      </c>
      <c r="C43" s="382">
        <f t="shared" si="0"/>
        <v>1047.9580828623382</v>
      </c>
      <c r="D43" s="381">
        <v>5</v>
      </c>
      <c r="E43" s="381">
        <v>8</v>
      </c>
      <c r="F43" s="383">
        <v>18</v>
      </c>
      <c r="G43" s="384"/>
      <c r="H43" s="396" t="s">
        <v>275</v>
      </c>
      <c r="I43" s="397">
        <v>85</v>
      </c>
      <c r="J43" s="398">
        <v>10</v>
      </c>
      <c r="K43" s="384"/>
      <c r="L43" s="403" t="s">
        <v>390</v>
      </c>
      <c r="M43" s="382">
        <v>68</v>
      </c>
      <c r="N43" s="437" t="s">
        <v>398</v>
      </c>
      <c r="O43" s="441"/>
      <c r="P43" s="454"/>
      <c r="Q43" s="446"/>
      <c r="R43" s="446"/>
      <c r="S43" s="451"/>
      <c r="T43" s="451"/>
      <c r="U43" s="457"/>
    </row>
    <row r="44" spans="1:21" s="387" customFormat="1" ht="13.5">
      <c r="A44" s="392" t="s">
        <v>276</v>
      </c>
      <c r="B44" s="393">
        <v>12.3</v>
      </c>
      <c r="C44" s="394">
        <f t="shared" si="0"/>
        <v>1049.6405028728232</v>
      </c>
      <c r="D44" s="393">
        <v>5.2</v>
      </c>
      <c r="E44" s="393">
        <v>3</v>
      </c>
      <c r="F44" s="395">
        <v>21</v>
      </c>
      <c r="G44" s="384"/>
      <c r="H44" s="400" t="s">
        <v>277</v>
      </c>
      <c r="I44" s="401">
        <v>75.74</v>
      </c>
      <c r="J44" s="402">
        <v>40</v>
      </c>
      <c r="K44" s="384"/>
      <c r="L44" s="399" t="s">
        <v>389</v>
      </c>
      <c r="M44" s="394">
        <v>71</v>
      </c>
      <c r="N44" s="436" t="s">
        <v>396</v>
      </c>
      <c r="O44" s="442"/>
      <c r="P44" s="455"/>
      <c r="Q44" s="447"/>
      <c r="R44" s="447"/>
      <c r="S44" s="452"/>
      <c r="T44" s="452"/>
      <c r="U44" s="458"/>
    </row>
    <row r="45" spans="1:21" s="387" customFormat="1" ht="13.5">
      <c r="A45" s="380" t="s">
        <v>278</v>
      </c>
      <c r="B45" s="381">
        <v>12.8</v>
      </c>
      <c r="C45" s="382">
        <f t="shared" si="0"/>
        <v>1051.7502584278532</v>
      </c>
      <c r="D45" s="381">
        <v>5.3</v>
      </c>
      <c r="E45" s="381">
        <v>60</v>
      </c>
      <c r="F45" s="383">
        <v>20</v>
      </c>
      <c r="G45" s="384"/>
      <c r="H45" s="396" t="s">
        <v>279</v>
      </c>
      <c r="I45" s="397">
        <v>69.25</v>
      </c>
      <c r="J45" s="398">
        <v>800</v>
      </c>
      <c r="K45" s="384"/>
      <c r="L45" s="403" t="s">
        <v>407</v>
      </c>
      <c r="M45" s="382">
        <v>72</v>
      </c>
      <c r="N45" s="437" t="s">
        <v>578</v>
      </c>
      <c r="O45" s="441"/>
      <c r="P45" s="454"/>
      <c r="Q45" s="446"/>
      <c r="R45" s="446"/>
      <c r="S45" s="451"/>
      <c r="T45" s="451"/>
      <c r="U45" s="457"/>
    </row>
    <row r="46" spans="1:21" s="387" customFormat="1" ht="13.5">
      <c r="A46" s="392" t="s">
        <v>280</v>
      </c>
      <c r="B46" s="393">
        <v>12.8</v>
      </c>
      <c r="C46" s="394">
        <f t="shared" si="0"/>
        <v>1051.7502584278532</v>
      </c>
      <c r="D46" s="393">
        <v>5.3</v>
      </c>
      <c r="E46" s="393">
        <v>60</v>
      </c>
      <c r="F46" s="395">
        <v>20</v>
      </c>
      <c r="G46" s="384"/>
      <c r="H46" s="400" t="s">
        <v>281</v>
      </c>
      <c r="I46" s="401">
        <v>69.25</v>
      </c>
      <c r="J46" s="402">
        <v>700</v>
      </c>
      <c r="K46" s="384"/>
      <c r="L46" s="399" t="s">
        <v>388</v>
      </c>
      <c r="M46" s="394">
        <v>77</v>
      </c>
      <c r="N46" s="436" t="s">
        <v>400</v>
      </c>
      <c r="O46" s="442"/>
      <c r="P46" s="455"/>
      <c r="Q46" s="447"/>
      <c r="R46" s="447"/>
      <c r="S46" s="452"/>
      <c r="T46" s="452"/>
      <c r="U46" s="458"/>
    </row>
    <row r="47" spans="1:21" s="387" customFormat="1" ht="12.75" customHeight="1">
      <c r="A47" s="380" t="s">
        <v>282</v>
      </c>
      <c r="B47" s="381">
        <v>12.8</v>
      </c>
      <c r="C47" s="382">
        <f t="shared" si="0"/>
        <v>1051.7502584278532</v>
      </c>
      <c r="D47" s="381">
        <v>5.4</v>
      </c>
      <c r="E47" s="381">
        <v>11</v>
      </c>
      <c r="F47" s="383">
        <v>24</v>
      </c>
      <c r="G47" s="384"/>
      <c r="H47" s="396" t="s">
        <v>283</v>
      </c>
      <c r="I47" s="397">
        <v>74</v>
      </c>
      <c r="J47" s="398">
        <v>1200</v>
      </c>
      <c r="K47" s="384"/>
      <c r="L47" s="403" t="s">
        <v>387</v>
      </c>
      <c r="M47" s="382">
        <v>68</v>
      </c>
      <c r="N47" s="437" t="s">
        <v>399</v>
      </c>
      <c r="O47" s="441"/>
      <c r="P47" s="454"/>
      <c r="Q47" s="446"/>
      <c r="R47" s="446"/>
      <c r="S47" s="451"/>
      <c r="T47" s="451"/>
      <c r="U47" s="457"/>
    </row>
    <row r="48" spans="1:21" s="387" customFormat="1" ht="14.25" customHeight="1">
      <c r="A48" s="392" t="s">
        <v>284</v>
      </c>
      <c r="B48" s="393">
        <v>15.3</v>
      </c>
      <c r="C48" s="394">
        <f t="shared" si="0"/>
        <v>1062.4125803202487</v>
      </c>
      <c r="D48" s="393">
        <v>6.6</v>
      </c>
      <c r="E48" s="393">
        <v>50</v>
      </c>
      <c r="F48" s="395">
        <v>23</v>
      </c>
      <c r="G48" s="384"/>
      <c r="H48" s="620" t="s">
        <v>285</v>
      </c>
      <c r="I48" s="621"/>
      <c r="J48" s="622"/>
      <c r="K48" s="384"/>
      <c r="L48" s="399" t="s">
        <v>405</v>
      </c>
      <c r="M48" s="394">
        <v>71</v>
      </c>
      <c r="N48" s="436" t="s">
        <v>579</v>
      </c>
      <c r="O48" s="442"/>
      <c r="P48" s="455"/>
      <c r="Q48" s="447"/>
      <c r="R48" s="447"/>
      <c r="S48" s="452"/>
      <c r="T48" s="452"/>
      <c r="U48" s="458"/>
    </row>
    <row r="49" spans="1:21" s="387" customFormat="1" ht="13.5">
      <c r="A49" s="380" t="s">
        <v>286</v>
      </c>
      <c r="B49" s="381">
        <v>20</v>
      </c>
      <c r="C49" s="382">
        <f t="shared" si="0"/>
        <v>1082.9844528627561</v>
      </c>
      <c r="D49" s="381">
        <v>10.1</v>
      </c>
      <c r="E49" s="381">
        <v>11</v>
      </c>
      <c r="F49" s="383">
        <v>33</v>
      </c>
      <c r="G49" s="384"/>
      <c r="H49" s="396" t="s">
        <v>287</v>
      </c>
      <c r="I49" s="397">
        <v>99.55</v>
      </c>
      <c r="J49" s="398">
        <v>30</v>
      </c>
      <c r="K49" s="384"/>
      <c r="L49" s="403" t="s">
        <v>386</v>
      </c>
      <c r="M49" s="382">
        <v>68</v>
      </c>
      <c r="N49" s="437" t="s">
        <v>580</v>
      </c>
      <c r="O49" s="441"/>
      <c r="P49" s="454"/>
      <c r="Q49" s="446"/>
      <c r="R49" s="446"/>
      <c r="S49" s="451"/>
      <c r="T49" s="451"/>
      <c r="U49" s="457"/>
    </row>
    <row r="50" spans="1:21" s="387" customFormat="1" ht="13.5">
      <c r="A50" s="392" t="s">
        <v>288</v>
      </c>
      <c r="B50" s="393">
        <v>11.4</v>
      </c>
      <c r="C50" s="394">
        <f t="shared" si="0"/>
        <v>1045.861755049711</v>
      </c>
      <c r="D50" s="393">
        <v>4.8</v>
      </c>
      <c r="E50" s="393">
        <v>3</v>
      </c>
      <c r="F50" s="395">
        <v>28</v>
      </c>
      <c r="G50" s="384"/>
      <c r="H50" s="400" t="s">
        <v>289</v>
      </c>
      <c r="I50" s="401">
        <v>100</v>
      </c>
      <c r="J50" s="402">
        <v>10.005021607606587</v>
      </c>
      <c r="K50" s="384"/>
      <c r="L50" s="399" t="s">
        <v>409</v>
      </c>
      <c r="M50" s="394">
        <v>79</v>
      </c>
      <c r="N50" s="436" t="s">
        <v>408</v>
      </c>
      <c r="O50" s="442"/>
      <c r="P50" s="455"/>
      <c r="Q50" s="447"/>
      <c r="R50" s="447"/>
      <c r="S50" s="452"/>
      <c r="T50" s="452"/>
      <c r="U50" s="458"/>
    </row>
    <row r="51" spans="1:21" s="387" customFormat="1" ht="13.5">
      <c r="A51" s="380" t="s">
        <v>290</v>
      </c>
      <c r="B51" s="381">
        <v>10.9</v>
      </c>
      <c r="C51" s="382">
        <f t="shared" si="0"/>
        <v>1043.772831773518</v>
      </c>
      <c r="D51" s="381">
        <v>5</v>
      </c>
      <c r="E51" s="381">
        <v>24</v>
      </c>
      <c r="F51" s="383">
        <v>50</v>
      </c>
      <c r="G51" s="384"/>
      <c r="H51" s="396" t="s">
        <v>291</v>
      </c>
      <c r="I51" s="397">
        <v>99.55</v>
      </c>
      <c r="J51" s="398">
        <v>0</v>
      </c>
      <c r="K51" s="384"/>
      <c r="L51" s="403" t="s">
        <v>392</v>
      </c>
      <c r="M51" s="382">
        <v>71</v>
      </c>
      <c r="N51" s="437" t="s">
        <v>401</v>
      </c>
      <c r="O51" s="441"/>
      <c r="P51" s="454"/>
      <c r="Q51" s="446"/>
      <c r="R51" s="446"/>
      <c r="S51" s="451"/>
      <c r="T51" s="451"/>
      <c r="U51" s="457"/>
    </row>
    <row r="52" spans="1:21" s="387" customFormat="1" ht="13.5">
      <c r="A52" s="392" t="s">
        <v>292</v>
      </c>
      <c r="B52" s="393">
        <v>15.8</v>
      </c>
      <c r="C52" s="394">
        <f t="shared" si="0"/>
        <v>1064.5680392047325</v>
      </c>
      <c r="D52" s="393">
        <v>7.4</v>
      </c>
      <c r="E52" s="393">
        <v>76</v>
      </c>
      <c r="F52" s="395">
        <v>26</v>
      </c>
      <c r="G52" s="384"/>
      <c r="H52" s="400" t="s">
        <v>293</v>
      </c>
      <c r="I52" s="401">
        <v>99.5</v>
      </c>
      <c r="J52" s="402">
        <v>0</v>
      </c>
      <c r="K52" s="384"/>
      <c r="L52" s="399" t="s">
        <v>393</v>
      </c>
      <c r="M52" s="394">
        <v>71</v>
      </c>
      <c r="N52" s="436" t="s">
        <v>402</v>
      </c>
      <c r="O52" s="442"/>
      <c r="P52" s="455"/>
      <c r="Q52" s="447"/>
      <c r="R52" s="447"/>
      <c r="S52" s="452"/>
      <c r="T52" s="452"/>
      <c r="U52" s="458"/>
    </row>
    <row r="53" spans="1:21" s="387" customFormat="1" ht="13.5" customHeight="1">
      <c r="A53" s="380" t="s">
        <v>294</v>
      </c>
      <c r="B53" s="381">
        <v>13.5</v>
      </c>
      <c r="C53" s="382">
        <f t="shared" si="0"/>
        <v>1054.7165515440556</v>
      </c>
      <c r="D53" s="381">
        <v>5.7</v>
      </c>
      <c r="E53" s="381">
        <v>32</v>
      </c>
      <c r="F53" s="383">
        <v>22</v>
      </c>
      <c r="G53" s="384"/>
      <c r="H53" s="396" t="s">
        <v>295</v>
      </c>
      <c r="I53" s="397">
        <v>97.38</v>
      </c>
      <c r="J53" s="398">
        <v>6</v>
      </c>
      <c r="K53" s="384"/>
      <c r="L53" s="403" t="s">
        <v>404</v>
      </c>
      <c r="M53" s="382">
        <v>79</v>
      </c>
      <c r="N53" s="437" t="s">
        <v>674</v>
      </c>
      <c r="O53" s="441"/>
      <c r="P53" s="454"/>
      <c r="Q53" s="446"/>
      <c r="R53" s="446"/>
      <c r="S53" s="451"/>
      <c r="T53" s="451"/>
      <c r="U53" s="457"/>
    </row>
    <row r="54" spans="1:21" s="387" customFormat="1" ht="16.5" customHeight="1">
      <c r="A54" s="392" t="s">
        <v>333</v>
      </c>
      <c r="B54" s="393">
        <v>17.4</v>
      </c>
      <c r="C54" s="394">
        <f t="shared" si="0"/>
        <v>1071.5178718846105</v>
      </c>
      <c r="D54" s="393">
        <v>7.5</v>
      </c>
      <c r="E54" s="393">
        <v>60</v>
      </c>
      <c r="F54" s="395">
        <v>30</v>
      </c>
      <c r="G54" s="384"/>
      <c r="H54" s="400" t="s">
        <v>296</v>
      </c>
      <c r="I54" s="401">
        <v>90.89</v>
      </c>
      <c r="J54" s="402">
        <v>30</v>
      </c>
      <c r="K54" s="384"/>
      <c r="L54" s="399" t="s">
        <v>394</v>
      </c>
      <c r="M54" s="394">
        <v>72</v>
      </c>
      <c r="N54" s="436" t="s">
        <v>395</v>
      </c>
      <c r="O54" s="442"/>
      <c r="P54" s="455"/>
      <c r="Q54" s="447"/>
      <c r="R54" s="447"/>
      <c r="S54" s="452"/>
      <c r="T54" s="452"/>
      <c r="U54" s="458"/>
    </row>
    <row r="55" spans="1:21" s="387" customFormat="1" ht="13.5">
      <c r="A55" s="380" t="s">
        <v>297</v>
      </c>
      <c r="B55" s="381">
        <v>11.9</v>
      </c>
      <c r="C55" s="382">
        <f t="shared" si="0"/>
        <v>1047.9580828623382</v>
      </c>
      <c r="D55" s="381">
        <v>5</v>
      </c>
      <c r="E55" s="381">
        <v>6</v>
      </c>
      <c r="F55" s="383">
        <v>40</v>
      </c>
      <c r="G55" s="384"/>
      <c r="H55" s="396" t="s">
        <v>298</v>
      </c>
      <c r="I55" s="397">
        <v>53</v>
      </c>
      <c r="J55" s="398">
        <v>30</v>
      </c>
      <c r="K55" s="384"/>
      <c r="L55" s="403" t="s">
        <v>403</v>
      </c>
      <c r="M55" s="382">
        <v>72</v>
      </c>
      <c r="N55" s="437" t="s">
        <v>673</v>
      </c>
      <c r="O55" s="441"/>
      <c r="P55" s="454"/>
      <c r="Q55" s="446"/>
      <c r="R55" s="446"/>
      <c r="S55" s="451"/>
      <c r="T55" s="451"/>
      <c r="U55" s="457"/>
    </row>
    <row r="56" spans="1:21" s="387" customFormat="1" ht="13.5">
      <c r="A56" s="392" t="s">
        <v>299</v>
      </c>
      <c r="B56" s="393">
        <v>12.3</v>
      </c>
      <c r="C56" s="394">
        <f t="shared" si="0"/>
        <v>1049.6405028728232</v>
      </c>
      <c r="D56" s="393">
        <v>5.2</v>
      </c>
      <c r="E56" s="393">
        <v>9</v>
      </c>
      <c r="F56" s="395">
        <v>18</v>
      </c>
      <c r="G56" s="384"/>
      <c r="H56" s="400" t="s">
        <v>300</v>
      </c>
      <c r="I56" s="401">
        <v>91</v>
      </c>
      <c r="J56" s="402">
        <v>0</v>
      </c>
      <c r="K56" s="384"/>
      <c r="L56" s="399" t="s">
        <v>406</v>
      </c>
      <c r="M56" s="394">
        <v>73</v>
      </c>
      <c r="N56" s="436" t="s">
        <v>672</v>
      </c>
      <c r="O56" s="444"/>
      <c r="P56" s="455"/>
      <c r="Q56" s="447"/>
      <c r="R56" s="447"/>
      <c r="S56" s="452"/>
      <c r="T56" s="452"/>
      <c r="U56" s="458"/>
    </row>
    <row r="57" spans="1:18" s="387" customFormat="1" ht="12">
      <c r="A57" s="380" t="s">
        <v>301</v>
      </c>
      <c r="B57" s="381">
        <v>11.9</v>
      </c>
      <c r="C57" s="382">
        <f t="shared" si="0"/>
        <v>1047.9580828623382</v>
      </c>
      <c r="D57" s="381">
        <v>4.8</v>
      </c>
      <c r="E57" s="381">
        <v>60</v>
      </c>
      <c r="F57" s="383">
        <v>14</v>
      </c>
      <c r="G57" s="384"/>
      <c r="H57" s="396" t="s">
        <v>302</v>
      </c>
      <c r="I57" s="397">
        <v>79</v>
      </c>
      <c r="J57" s="398">
        <v>2</v>
      </c>
      <c r="K57" s="384"/>
      <c r="L57" s="404"/>
      <c r="M57" s="407"/>
      <c r="N57" s="406"/>
      <c r="O57" s="406"/>
      <c r="Q57" s="405"/>
      <c r="R57" s="404"/>
    </row>
    <row r="58" spans="1:18" s="387" customFormat="1" ht="12">
      <c r="A58" s="392" t="s">
        <v>303</v>
      </c>
      <c r="B58" s="393">
        <v>15.8</v>
      </c>
      <c r="C58" s="394">
        <f t="shared" si="0"/>
        <v>1064.5680392047325</v>
      </c>
      <c r="D58" s="393">
        <v>6.6</v>
      </c>
      <c r="E58" s="393">
        <v>60</v>
      </c>
      <c r="F58" s="395">
        <v>14</v>
      </c>
      <c r="G58" s="384"/>
      <c r="H58" s="400" t="s">
        <v>15</v>
      </c>
      <c r="I58" s="401">
        <v>100</v>
      </c>
      <c r="J58" s="402">
        <v>0.009876460308545583</v>
      </c>
      <c r="K58" s="384"/>
      <c r="L58" s="404"/>
      <c r="M58" s="407"/>
      <c r="N58" s="406"/>
      <c r="O58" s="406"/>
      <c r="Q58" s="405"/>
      <c r="R58" s="404"/>
    </row>
    <row r="59" spans="1:18" s="387" customFormat="1" ht="12">
      <c r="A59" s="380" t="s">
        <v>304</v>
      </c>
      <c r="B59" s="381">
        <v>15.1</v>
      </c>
      <c r="C59" s="382">
        <f t="shared" si="0"/>
        <v>1061.5525606181134</v>
      </c>
      <c r="D59" s="381">
        <v>6.4</v>
      </c>
      <c r="E59" s="381">
        <v>35</v>
      </c>
      <c r="F59" s="383">
        <v>25</v>
      </c>
      <c r="G59" s="384"/>
      <c r="H59" s="613" t="s">
        <v>305</v>
      </c>
      <c r="I59" s="613"/>
      <c r="J59" s="613"/>
      <c r="K59" s="384"/>
      <c r="L59" s="404"/>
      <c r="M59" s="407"/>
      <c r="N59" s="406"/>
      <c r="O59" s="406"/>
      <c r="Q59" s="405"/>
      <c r="R59" s="404"/>
    </row>
    <row r="60" spans="1:18" s="387" customFormat="1" ht="12">
      <c r="A60" s="392" t="s">
        <v>306</v>
      </c>
      <c r="B60" s="393">
        <v>19</v>
      </c>
      <c r="C60" s="394">
        <f t="shared" si="0"/>
        <v>1078.5485712324953</v>
      </c>
      <c r="D60" s="393">
        <v>8.5</v>
      </c>
      <c r="E60" s="393">
        <v>6</v>
      </c>
      <c r="F60" s="395">
        <v>27</v>
      </c>
      <c r="G60" s="384"/>
      <c r="H60" s="396" t="s">
        <v>13</v>
      </c>
      <c r="I60" s="397">
        <v>73.5</v>
      </c>
      <c r="J60" s="398">
        <v>2</v>
      </c>
      <c r="K60" s="384"/>
      <c r="L60" s="404"/>
      <c r="M60" s="407"/>
      <c r="N60" s="406"/>
      <c r="O60" s="406"/>
      <c r="Q60" s="405"/>
      <c r="R60" s="404"/>
    </row>
    <row r="61" spans="1:18" s="387" customFormat="1" ht="12">
      <c r="A61" s="404"/>
      <c r="B61" s="405"/>
      <c r="C61" s="407"/>
      <c r="D61" s="405"/>
      <c r="E61" s="405"/>
      <c r="F61" s="405"/>
      <c r="G61" s="384"/>
      <c r="H61" s="400" t="s">
        <v>307</v>
      </c>
      <c r="I61" s="401">
        <v>75</v>
      </c>
      <c r="J61" s="402">
        <v>0.1</v>
      </c>
      <c r="K61" s="384"/>
      <c r="L61" s="404"/>
      <c r="M61" s="407"/>
      <c r="N61" s="406"/>
      <c r="O61" s="406"/>
      <c r="Q61" s="405"/>
      <c r="R61" s="404"/>
    </row>
    <row r="62" spans="1:18" s="387" customFormat="1" ht="12">
      <c r="A62" s="404"/>
      <c r="B62" s="405"/>
      <c r="C62" s="407"/>
      <c r="D62" s="405"/>
      <c r="E62" s="405"/>
      <c r="F62" s="405"/>
      <c r="G62" s="384"/>
      <c r="H62" s="396" t="s">
        <v>308</v>
      </c>
      <c r="I62" s="397">
        <v>73.5</v>
      </c>
      <c r="J62" s="398">
        <v>3</v>
      </c>
      <c r="K62" s="384"/>
      <c r="L62" s="404"/>
      <c r="M62" s="407"/>
      <c r="N62" s="406"/>
      <c r="O62" s="406"/>
      <c r="Q62" s="405"/>
      <c r="R62" s="404"/>
    </row>
    <row r="63" spans="1:18" s="387" customFormat="1" ht="12">
      <c r="A63" s="404"/>
      <c r="B63" s="405"/>
      <c r="C63" s="407"/>
      <c r="D63" s="405"/>
      <c r="E63" s="405"/>
      <c r="F63" s="405"/>
      <c r="G63" s="384"/>
      <c r="H63" s="400" t="s">
        <v>309</v>
      </c>
      <c r="I63" s="401">
        <v>73.5</v>
      </c>
      <c r="J63" s="402">
        <v>3</v>
      </c>
      <c r="K63" s="384"/>
      <c r="L63" s="404"/>
      <c r="M63" s="407"/>
      <c r="N63" s="406"/>
      <c r="O63" s="406"/>
      <c r="Q63" s="405"/>
      <c r="R63" s="404"/>
    </row>
    <row r="64" spans="1:18" s="387" customFormat="1" ht="12">
      <c r="A64" s="404"/>
      <c r="B64" s="405"/>
      <c r="C64" s="407"/>
      <c r="D64" s="405"/>
      <c r="E64" s="405"/>
      <c r="F64" s="405"/>
      <c r="G64" s="384"/>
      <c r="H64" s="400" t="s">
        <v>310</v>
      </c>
      <c r="I64" s="401">
        <v>60</v>
      </c>
      <c r="J64" s="402">
        <v>1500</v>
      </c>
      <c r="K64" s="384"/>
      <c r="L64" s="404"/>
      <c r="M64" s="407"/>
      <c r="N64" s="406"/>
      <c r="O64" s="406"/>
      <c r="Q64" s="405"/>
      <c r="R64" s="404"/>
    </row>
    <row r="65" spans="1:18" s="387" customFormat="1" ht="12">
      <c r="A65" s="404"/>
      <c r="B65" s="405"/>
      <c r="C65" s="407"/>
      <c r="D65" s="405"/>
      <c r="E65" s="405"/>
      <c r="F65" s="405"/>
      <c r="G65" s="384"/>
      <c r="H65" s="396" t="s">
        <v>311</v>
      </c>
      <c r="I65" s="397">
        <v>73.5</v>
      </c>
      <c r="J65" s="398">
        <v>4</v>
      </c>
      <c r="K65" s="384"/>
      <c r="L65" s="404"/>
      <c r="M65" s="407"/>
      <c r="N65" s="406"/>
      <c r="O65" s="406"/>
      <c r="Q65" s="405"/>
      <c r="R65" s="404"/>
    </row>
    <row r="66" spans="1:18" s="387" customFormat="1" ht="12">
      <c r="A66" s="404"/>
      <c r="B66" s="405"/>
      <c r="C66" s="407"/>
      <c r="D66" s="405"/>
      <c r="E66" s="405"/>
      <c r="F66" s="405"/>
      <c r="G66" s="384"/>
      <c r="H66" s="400" t="s">
        <v>312</v>
      </c>
      <c r="I66" s="401">
        <v>73.5</v>
      </c>
      <c r="J66" s="402">
        <v>1</v>
      </c>
      <c r="K66" s="384"/>
      <c r="L66" s="404"/>
      <c r="M66" s="407"/>
      <c r="N66" s="406"/>
      <c r="O66" s="406"/>
      <c r="Q66" s="405"/>
      <c r="R66" s="404"/>
    </row>
    <row r="67" spans="1:18" s="387" customFormat="1" ht="12">
      <c r="A67" s="404"/>
      <c r="B67" s="405"/>
      <c r="C67" s="407"/>
      <c r="D67" s="405"/>
      <c r="E67" s="405"/>
      <c r="F67" s="405"/>
      <c r="G67" s="408"/>
      <c r="H67" s="396" t="s">
        <v>313</v>
      </c>
      <c r="I67" s="397">
        <v>73.5</v>
      </c>
      <c r="J67" s="398">
        <v>4</v>
      </c>
      <c r="K67" s="408"/>
      <c r="L67" s="404"/>
      <c r="M67" s="407"/>
      <c r="N67" s="406"/>
      <c r="O67" s="406"/>
      <c r="Q67" s="405"/>
      <c r="R67" s="404"/>
    </row>
    <row r="68" spans="1:18" s="387" customFormat="1" ht="12">
      <c r="A68" s="404"/>
      <c r="B68" s="405"/>
      <c r="C68" s="407"/>
      <c r="D68" s="405"/>
      <c r="E68" s="405"/>
      <c r="F68" s="405"/>
      <c r="G68" s="409"/>
      <c r="I68" s="410"/>
      <c r="J68" s="407"/>
      <c r="L68" s="404"/>
      <c r="M68" s="407"/>
      <c r="N68" s="406"/>
      <c r="O68" s="406"/>
      <c r="Q68" s="405"/>
      <c r="R68" s="404"/>
    </row>
    <row r="69" spans="2:18" s="387" customFormat="1" ht="12">
      <c r="B69" s="405"/>
      <c r="C69" s="407"/>
      <c r="D69" s="405"/>
      <c r="E69" s="405"/>
      <c r="F69" s="405"/>
      <c r="G69" s="409"/>
      <c r="I69" s="410"/>
      <c r="J69" s="407"/>
      <c r="L69" s="404"/>
      <c r="M69" s="407"/>
      <c r="N69" s="406"/>
      <c r="O69" s="406"/>
      <c r="Q69" s="405"/>
      <c r="R69" s="404"/>
    </row>
    <row r="70" spans="2:18" s="387" customFormat="1" ht="12">
      <c r="B70" s="405"/>
      <c r="C70" s="407"/>
      <c r="D70" s="405"/>
      <c r="E70" s="405"/>
      <c r="F70" s="405"/>
      <c r="G70" s="409"/>
      <c r="I70" s="405"/>
      <c r="J70" s="405"/>
      <c r="L70" s="404"/>
      <c r="M70" s="407"/>
      <c r="N70" s="406"/>
      <c r="O70" s="406"/>
      <c r="Q70" s="405"/>
      <c r="R70" s="404"/>
    </row>
    <row r="71" spans="2:18" s="387" customFormat="1" ht="12">
      <c r="B71" s="405"/>
      <c r="C71" s="407"/>
      <c r="D71" s="405"/>
      <c r="E71" s="405"/>
      <c r="F71" s="405"/>
      <c r="G71" s="409"/>
      <c r="I71" s="405"/>
      <c r="J71" s="405"/>
      <c r="L71" s="404"/>
      <c r="M71" s="407"/>
      <c r="N71" s="406"/>
      <c r="O71" s="406"/>
      <c r="Q71" s="405"/>
      <c r="R71" s="404"/>
    </row>
    <row r="72" spans="2:18" s="387" customFormat="1" ht="12">
      <c r="B72" s="405"/>
      <c r="C72" s="407"/>
      <c r="D72" s="405"/>
      <c r="E72" s="405"/>
      <c r="F72" s="405"/>
      <c r="G72" s="409"/>
      <c r="I72" s="405"/>
      <c r="J72" s="405"/>
      <c r="L72" s="404"/>
      <c r="M72" s="407"/>
      <c r="N72" s="406"/>
      <c r="O72" s="406"/>
      <c r="Q72" s="405"/>
      <c r="R72" s="404"/>
    </row>
    <row r="73" spans="2:18" s="387" customFormat="1" ht="12">
      <c r="B73" s="405"/>
      <c r="C73" s="407"/>
      <c r="D73" s="405"/>
      <c r="E73" s="405"/>
      <c r="F73" s="405"/>
      <c r="G73" s="409"/>
      <c r="I73" s="405"/>
      <c r="J73" s="405"/>
      <c r="L73" s="404"/>
      <c r="M73" s="407"/>
      <c r="N73" s="406"/>
      <c r="O73" s="406"/>
      <c r="Q73" s="405"/>
      <c r="R73" s="404"/>
    </row>
    <row r="74" spans="2:18" s="387" customFormat="1" ht="12">
      <c r="B74" s="405"/>
      <c r="C74" s="407"/>
      <c r="D74" s="405"/>
      <c r="E74" s="405"/>
      <c r="F74" s="405"/>
      <c r="G74" s="409"/>
      <c r="I74" s="410"/>
      <c r="J74" s="407"/>
      <c r="L74" s="404"/>
      <c r="M74" s="407"/>
      <c r="N74" s="406"/>
      <c r="O74" s="406"/>
      <c r="Q74" s="405"/>
      <c r="R74" s="404"/>
    </row>
    <row r="75" spans="2:18" s="387" customFormat="1" ht="12">
      <c r="B75" s="405"/>
      <c r="C75" s="407"/>
      <c r="D75" s="405"/>
      <c r="E75" s="405"/>
      <c r="F75" s="405"/>
      <c r="G75" s="409"/>
      <c r="I75" s="410"/>
      <c r="J75" s="407"/>
      <c r="L75" s="404"/>
      <c r="M75" s="407"/>
      <c r="N75" s="406"/>
      <c r="O75" s="406"/>
      <c r="Q75" s="405"/>
      <c r="R75" s="404"/>
    </row>
    <row r="76" spans="2:18" s="387" customFormat="1" ht="12">
      <c r="B76" s="405"/>
      <c r="C76" s="407"/>
      <c r="D76" s="405"/>
      <c r="E76" s="405"/>
      <c r="F76" s="405"/>
      <c r="G76" s="409"/>
      <c r="I76" s="410"/>
      <c r="J76" s="407"/>
      <c r="L76" s="404"/>
      <c r="M76" s="407"/>
      <c r="N76" s="406"/>
      <c r="O76" s="406"/>
      <c r="Q76" s="405"/>
      <c r="R76" s="404"/>
    </row>
    <row r="77" spans="2:18" s="387" customFormat="1" ht="12">
      <c r="B77" s="405"/>
      <c r="C77" s="407"/>
      <c r="D77" s="405"/>
      <c r="E77" s="405"/>
      <c r="F77" s="405"/>
      <c r="G77" s="409"/>
      <c r="I77" s="410"/>
      <c r="J77" s="407"/>
      <c r="L77" s="404"/>
      <c r="M77" s="407"/>
      <c r="N77" s="406"/>
      <c r="O77" s="406"/>
      <c r="Q77" s="405"/>
      <c r="R77" s="404"/>
    </row>
    <row r="78" spans="2:18" s="387" customFormat="1" ht="12">
      <c r="B78" s="405"/>
      <c r="C78" s="407"/>
      <c r="D78" s="405"/>
      <c r="E78" s="405"/>
      <c r="F78" s="405"/>
      <c r="G78" s="409"/>
      <c r="I78" s="410"/>
      <c r="J78" s="407"/>
      <c r="L78" s="404"/>
      <c r="M78" s="407"/>
      <c r="N78" s="406"/>
      <c r="O78" s="406"/>
      <c r="Q78" s="405"/>
      <c r="R78" s="404"/>
    </row>
    <row r="79" spans="2:18" s="387" customFormat="1" ht="12">
      <c r="B79" s="405"/>
      <c r="C79" s="407"/>
      <c r="D79" s="405"/>
      <c r="E79" s="405"/>
      <c r="F79" s="405"/>
      <c r="G79" s="409"/>
      <c r="I79" s="410"/>
      <c r="J79" s="407"/>
      <c r="L79" s="404"/>
      <c r="M79" s="407"/>
      <c r="N79" s="406"/>
      <c r="O79" s="406"/>
      <c r="Q79" s="405"/>
      <c r="R79" s="404"/>
    </row>
    <row r="80" spans="2:18" s="387" customFormat="1" ht="12">
      <c r="B80" s="405"/>
      <c r="C80" s="407"/>
      <c r="D80" s="405"/>
      <c r="E80" s="405"/>
      <c r="F80" s="405"/>
      <c r="G80" s="409"/>
      <c r="I80" s="410"/>
      <c r="J80" s="407"/>
      <c r="L80" s="404"/>
      <c r="M80" s="407"/>
      <c r="N80" s="406"/>
      <c r="O80" s="406"/>
      <c r="Q80" s="405"/>
      <c r="R80" s="404"/>
    </row>
    <row r="81" spans="2:18" s="387" customFormat="1" ht="12">
      <c r="B81" s="405"/>
      <c r="C81" s="407"/>
      <c r="D81" s="405"/>
      <c r="E81" s="405"/>
      <c r="F81" s="405"/>
      <c r="G81" s="409"/>
      <c r="I81" s="410"/>
      <c r="J81" s="407"/>
      <c r="L81" s="404"/>
      <c r="M81" s="407"/>
      <c r="N81" s="406"/>
      <c r="O81" s="406"/>
      <c r="Q81" s="405"/>
      <c r="R81" s="404"/>
    </row>
    <row r="82" spans="2:18" s="387" customFormat="1" ht="12">
      <c r="B82" s="405"/>
      <c r="C82" s="407"/>
      <c r="D82" s="405"/>
      <c r="E82" s="405"/>
      <c r="F82" s="405"/>
      <c r="G82" s="409"/>
      <c r="I82" s="410"/>
      <c r="J82" s="407"/>
      <c r="L82" s="404"/>
      <c r="M82" s="407"/>
      <c r="N82" s="406"/>
      <c r="O82" s="406"/>
      <c r="Q82" s="405"/>
      <c r="R82" s="404"/>
    </row>
    <row r="83" spans="2:18" s="387" customFormat="1" ht="12">
      <c r="B83" s="405"/>
      <c r="C83" s="407"/>
      <c r="D83" s="405"/>
      <c r="E83" s="405"/>
      <c r="F83" s="405"/>
      <c r="G83" s="409"/>
      <c r="I83" s="410"/>
      <c r="J83" s="407"/>
      <c r="L83" s="404"/>
      <c r="M83" s="407"/>
      <c r="N83" s="406"/>
      <c r="O83" s="406"/>
      <c r="Q83" s="405"/>
      <c r="R83" s="404"/>
    </row>
    <row r="84" spans="2:18" s="387" customFormat="1" ht="12">
      <c r="B84" s="405"/>
      <c r="C84" s="407"/>
      <c r="D84" s="405"/>
      <c r="E84" s="405"/>
      <c r="F84" s="405"/>
      <c r="G84" s="409"/>
      <c r="I84" s="410"/>
      <c r="J84" s="407"/>
      <c r="L84" s="404"/>
      <c r="M84" s="407"/>
      <c r="N84" s="406"/>
      <c r="O84" s="406"/>
      <c r="Q84" s="405"/>
      <c r="R84" s="404"/>
    </row>
    <row r="85" spans="2:18" s="387" customFormat="1" ht="12">
      <c r="B85" s="405"/>
      <c r="C85" s="407"/>
      <c r="D85" s="405"/>
      <c r="E85" s="405"/>
      <c r="F85" s="405"/>
      <c r="G85" s="409"/>
      <c r="I85" s="410"/>
      <c r="J85" s="407"/>
      <c r="L85" s="404"/>
      <c r="M85" s="407"/>
      <c r="N85" s="406"/>
      <c r="O85" s="406"/>
      <c r="Q85" s="405"/>
      <c r="R85" s="404"/>
    </row>
    <row r="86" spans="2:18" s="387" customFormat="1" ht="12">
      <c r="B86" s="405"/>
      <c r="C86" s="407"/>
      <c r="D86" s="405"/>
      <c r="E86" s="405"/>
      <c r="F86" s="405"/>
      <c r="G86" s="409"/>
      <c r="I86" s="410"/>
      <c r="J86" s="407"/>
      <c r="L86" s="404"/>
      <c r="M86" s="407"/>
      <c r="N86" s="406"/>
      <c r="O86" s="406"/>
      <c r="Q86" s="405"/>
      <c r="R86" s="404"/>
    </row>
    <row r="87" spans="2:18" s="387" customFormat="1" ht="12">
      <c r="B87" s="405"/>
      <c r="C87" s="407"/>
      <c r="D87" s="405"/>
      <c r="E87" s="405"/>
      <c r="F87" s="405"/>
      <c r="G87" s="409"/>
      <c r="I87" s="410"/>
      <c r="J87" s="407"/>
      <c r="L87" s="404"/>
      <c r="M87" s="407"/>
      <c r="N87" s="406"/>
      <c r="O87" s="406"/>
      <c r="Q87" s="405"/>
      <c r="R87" s="404"/>
    </row>
    <row r="88" spans="2:18" s="387" customFormat="1" ht="12">
      <c r="B88" s="405"/>
      <c r="C88" s="407"/>
      <c r="D88" s="405"/>
      <c r="E88" s="405"/>
      <c r="F88" s="405"/>
      <c r="G88" s="409"/>
      <c r="I88" s="410"/>
      <c r="J88" s="407"/>
      <c r="L88" s="404"/>
      <c r="M88" s="407"/>
      <c r="N88" s="406"/>
      <c r="O88" s="406"/>
      <c r="Q88" s="405"/>
      <c r="R88" s="404"/>
    </row>
    <row r="89" spans="2:18" s="387" customFormat="1" ht="12">
      <c r="B89" s="405"/>
      <c r="C89" s="407"/>
      <c r="D89" s="405"/>
      <c r="E89" s="405"/>
      <c r="F89" s="405"/>
      <c r="G89" s="409"/>
      <c r="I89" s="410"/>
      <c r="J89" s="407"/>
      <c r="L89" s="404"/>
      <c r="M89" s="407"/>
      <c r="N89" s="406"/>
      <c r="O89" s="406"/>
      <c r="Q89" s="405"/>
      <c r="R89" s="404"/>
    </row>
    <row r="90" spans="2:18" s="387" customFormat="1" ht="12">
      <c r="B90" s="405"/>
      <c r="C90" s="407"/>
      <c r="D90" s="405"/>
      <c r="E90" s="405"/>
      <c r="F90" s="405"/>
      <c r="G90" s="409"/>
      <c r="I90" s="410"/>
      <c r="J90" s="407"/>
      <c r="L90" s="404"/>
      <c r="M90" s="407"/>
      <c r="N90" s="406"/>
      <c r="O90" s="406"/>
      <c r="Q90" s="405"/>
      <c r="R90" s="404"/>
    </row>
    <row r="91" spans="2:18" s="387" customFormat="1" ht="12">
      <c r="B91" s="405"/>
      <c r="C91" s="407"/>
      <c r="D91" s="405"/>
      <c r="E91" s="405"/>
      <c r="F91" s="405"/>
      <c r="G91" s="409"/>
      <c r="I91" s="410"/>
      <c r="J91" s="407"/>
      <c r="L91" s="404"/>
      <c r="M91" s="407"/>
      <c r="N91" s="406"/>
      <c r="O91" s="406"/>
      <c r="Q91" s="405"/>
      <c r="R91" s="404"/>
    </row>
    <row r="92" spans="2:18" s="387" customFormat="1" ht="12">
      <c r="B92" s="405"/>
      <c r="C92" s="407"/>
      <c r="D92" s="405"/>
      <c r="E92" s="405"/>
      <c r="F92" s="405"/>
      <c r="G92" s="409"/>
      <c r="I92" s="410"/>
      <c r="J92" s="407"/>
      <c r="L92" s="404"/>
      <c r="M92" s="407"/>
      <c r="N92" s="406"/>
      <c r="O92" s="406"/>
      <c r="Q92" s="405"/>
      <c r="R92" s="404"/>
    </row>
    <row r="93" spans="2:18" s="387" customFormat="1" ht="12">
      <c r="B93" s="405"/>
      <c r="C93" s="407"/>
      <c r="D93" s="405"/>
      <c r="E93" s="405"/>
      <c r="F93" s="405"/>
      <c r="G93" s="409"/>
      <c r="I93" s="410"/>
      <c r="J93" s="407"/>
      <c r="L93" s="404"/>
      <c r="M93" s="407"/>
      <c r="N93" s="406"/>
      <c r="O93" s="406"/>
      <c r="Q93" s="405"/>
      <c r="R93" s="404"/>
    </row>
    <row r="94" spans="2:18" s="387" customFormat="1" ht="12">
      <c r="B94" s="405"/>
      <c r="C94" s="407"/>
      <c r="D94" s="405"/>
      <c r="E94" s="405"/>
      <c r="F94" s="405"/>
      <c r="G94" s="409"/>
      <c r="I94" s="410"/>
      <c r="J94" s="407"/>
      <c r="L94" s="404"/>
      <c r="M94" s="407"/>
      <c r="N94" s="406"/>
      <c r="O94" s="406"/>
      <c r="Q94" s="405"/>
      <c r="R94" s="404"/>
    </row>
    <row r="95" spans="2:18" s="387" customFormat="1" ht="12">
      <c r="B95" s="405"/>
      <c r="C95" s="407"/>
      <c r="D95" s="405"/>
      <c r="E95" s="405"/>
      <c r="F95" s="405"/>
      <c r="G95" s="409"/>
      <c r="I95" s="410"/>
      <c r="J95" s="407"/>
      <c r="L95" s="404"/>
      <c r="M95" s="407"/>
      <c r="N95" s="406"/>
      <c r="O95" s="406"/>
      <c r="Q95" s="405"/>
      <c r="R95" s="404"/>
    </row>
    <row r="96" spans="2:18" s="387" customFormat="1" ht="12">
      <c r="B96" s="405"/>
      <c r="C96" s="407"/>
      <c r="D96" s="405"/>
      <c r="E96" s="405"/>
      <c r="F96" s="405"/>
      <c r="G96" s="409"/>
      <c r="I96" s="410"/>
      <c r="J96" s="407"/>
      <c r="L96" s="404"/>
      <c r="M96" s="407"/>
      <c r="N96" s="406"/>
      <c r="O96" s="406"/>
      <c r="Q96" s="405"/>
      <c r="R96" s="404"/>
    </row>
    <row r="97" spans="2:18" s="387" customFormat="1" ht="12">
      <c r="B97" s="405"/>
      <c r="C97" s="407"/>
      <c r="D97" s="405"/>
      <c r="E97" s="405"/>
      <c r="F97" s="405"/>
      <c r="G97" s="409"/>
      <c r="I97" s="410"/>
      <c r="J97" s="407"/>
      <c r="L97" s="404"/>
      <c r="M97" s="407"/>
      <c r="N97" s="406"/>
      <c r="O97" s="406"/>
      <c r="Q97" s="405"/>
      <c r="R97" s="404"/>
    </row>
    <row r="98" spans="2:18" s="387" customFormat="1" ht="12">
      <c r="B98" s="405"/>
      <c r="C98" s="407"/>
      <c r="D98" s="405"/>
      <c r="E98" s="405"/>
      <c r="F98" s="405"/>
      <c r="G98" s="409"/>
      <c r="I98" s="410"/>
      <c r="J98" s="407"/>
      <c r="L98" s="404"/>
      <c r="M98" s="407"/>
      <c r="N98" s="406"/>
      <c r="O98" s="406"/>
      <c r="Q98" s="405"/>
      <c r="R98" s="404"/>
    </row>
    <row r="99" spans="2:18" s="387" customFormat="1" ht="12">
      <c r="B99" s="405"/>
      <c r="C99" s="407"/>
      <c r="D99" s="405"/>
      <c r="E99" s="405"/>
      <c r="F99" s="405"/>
      <c r="G99" s="409"/>
      <c r="I99" s="410"/>
      <c r="J99" s="407"/>
      <c r="L99" s="404"/>
      <c r="M99" s="407"/>
      <c r="N99" s="406"/>
      <c r="O99" s="406"/>
      <c r="Q99" s="405"/>
      <c r="R99" s="404"/>
    </row>
    <row r="100" spans="2:18" s="387" customFormat="1" ht="12">
      <c r="B100" s="405"/>
      <c r="C100" s="407"/>
      <c r="D100" s="405"/>
      <c r="E100" s="405"/>
      <c r="F100" s="405"/>
      <c r="G100" s="409"/>
      <c r="I100" s="410"/>
      <c r="J100" s="407"/>
      <c r="L100" s="404"/>
      <c r="M100" s="407"/>
      <c r="N100" s="406"/>
      <c r="O100" s="406"/>
      <c r="Q100" s="405"/>
      <c r="R100" s="404"/>
    </row>
    <row r="101" spans="2:18" s="387" customFormat="1" ht="12">
      <c r="B101" s="405"/>
      <c r="C101" s="407"/>
      <c r="D101" s="405"/>
      <c r="E101" s="405"/>
      <c r="F101" s="405"/>
      <c r="G101" s="409"/>
      <c r="I101" s="410"/>
      <c r="J101" s="407"/>
      <c r="L101" s="404"/>
      <c r="M101" s="407"/>
      <c r="N101" s="406"/>
      <c r="O101" s="406"/>
      <c r="Q101" s="405"/>
      <c r="R101" s="404"/>
    </row>
    <row r="102" spans="2:18" s="387" customFormat="1" ht="12">
      <c r="B102" s="405"/>
      <c r="C102" s="407"/>
      <c r="D102" s="405"/>
      <c r="E102" s="405"/>
      <c r="F102" s="405"/>
      <c r="G102" s="409"/>
      <c r="I102" s="410"/>
      <c r="J102" s="407"/>
      <c r="L102" s="404"/>
      <c r="M102" s="407"/>
      <c r="N102" s="406"/>
      <c r="O102" s="406"/>
      <c r="Q102" s="405"/>
      <c r="R102" s="404"/>
    </row>
    <row r="103" spans="2:18" s="387" customFormat="1" ht="12">
      <c r="B103" s="405"/>
      <c r="C103" s="407"/>
      <c r="D103" s="405"/>
      <c r="E103" s="405"/>
      <c r="F103" s="405"/>
      <c r="G103" s="409"/>
      <c r="I103" s="410"/>
      <c r="J103" s="407"/>
      <c r="L103" s="404"/>
      <c r="M103" s="407"/>
      <c r="N103" s="406"/>
      <c r="O103" s="406"/>
      <c r="Q103" s="405"/>
      <c r="R103" s="404"/>
    </row>
    <row r="104" spans="2:18" s="387" customFormat="1" ht="12">
      <c r="B104" s="405"/>
      <c r="C104" s="407"/>
      <c r="D104" s="405"/>
      <c r="E104" s="405"/>
      <c r="F104" s="405"/>
      <c r="G104" s="409"/>
      <c r="I104" s="410"/>
      <c r="J104" s="407"/>
      <c r="L104" s="404"/>
      <c r="M104" s="407"/>
      <c r="N104" s="406"/>
      <c r="O104" s="406"/>
      <c r="Q104" s="405"/>
      <c r="R104" s="404"/>
    </row>
    <row r="105" spans="2:18" s="387" customFormat="1" ht="12">
      <c r="B105" s="405"/>
      <c r="C105" s="407"/>
      <c r="D105" s="405"/>
      <c r="E105" s="405"/>
      <c r="F105" s="405"/>
      <c r="G105" s="409"/>
      <c r="I105" s="410"/>
      <c r="J105" s="407"/>
      <c r="L105" s="404"/>
      <c r="M105" s="407"/>
      <c r="N105" s="406"/>
      <c r="O105" s="406"/>
      <c r="Q105" s="405"/>
      <c r="R105" s="404"/>
    </row>
    <row r="106" spans="2:18" s="387" customFormat="1" ht="12">
      <c r="B106" s="405"/>
      <c r="C106" s="407"/>
      <c r="D106" s="405"/>
      <c r="E106" s="405"/>
      <c r="F106" s="405"/>
      <c r="G106" s="409"/>
      <c r="I106" s="410"/>
      <c r="J106" s="407"/>
      <c r="L106" s="404"/>
      <c r="M106" s="407"/>
      <c r="N106" s="406"/>
      <c r="O106" s="406"/>
      <c r="Q106" s="405"/>
      <c r="R106" s="404"/>
    </row>
    <row r="107" spans="2:18" s="387" customFormat="1" ht="12">
      <c r="B107" s="405"/>
      <c r="C107" s="407"/>
      <c r="D107" s="405"/>
      <c r="E107" s="405"/>
      <c r="F107" s="405"/>
      <c r="G107" s="409"/>
      <c r="I107" s="410"/>
      <c r="J107" s="407"/>
      <c r="L107" s="404"/>
      <c r="M107" s="407"/>
      <c r="N107" s="406"/>
      <c r="O107" s="406"/>
      <c r="Q107" s="405"/>
      <c r="R107" s="404"/>
    </row>
    <row r="108" spans="2:18" s="387" customFormat="1" ht="12">
      <c r="B108" s="405"/>
      <c r="C108" s="407"/>
      <c r="D108" s="405"/>
      <c r="E108" s="405"/>
      <c r="F108" s="405"/>
      <c r="G108" s="409"/>
      <c r="I108" s="410"/>
      <c r="J108" s="407"/>
      <c r="L108" s="404"/>
      <c r="M108" s="407"/>
      <c r="N108" s="406"/>
      <c r="O108" s="406"/>
      <c r="Q108" s="405"/>
      <c r="R108" s="404"/>
    </row>
    <row r="109" spans="2:18" s="387" customFormat="1" ht="12">
      <c r="B109" s="405"/>
      <c r="C109" s="407"/>
      <c r="D109" s="405"/>
      <c r="E109" s="405"/>
      <c r="F109" s="405"/>
      <c r="G109" s="409"/>
      <c r="I109" s="410"/>
      <c r="J109" s="407"/>
      <c r="L109" s="404"/>
      <c r="M109" s="407"/>
      <c r="N109" s="406"/>
      <c r="O109" s="406"/>
      <c r="Q109" s="405"/>
      <c r="R109" s="404"/>
    </row>
    <row r="110" spans="2:18" s="387" customFormat="1" ht="12">
      <c r="B110" s="405"/>
      <c r="C110" s="407"/>
      <c r="D110" s="405"/>
      <c r="E110" s="405"/>
      <c r="F110" s="405"/>
      <c r="G110" s="409"/>
      <c r="I110" s="410"/>
      <c r="J110" s="407"/>
      <c r="L110" s="404"/>
      <c r="M110" s="407"/>
      <c r="N110" s="406"/>
      <c r="O110" s="406"/>
      <c r="Q110" s="405"/>
      <c r="R110" s="404"/>
    </row>
    <row r="111" spans="2:18" s="387" customFormat="1" ht="12">
      <c r="B111" s="405"/>
      <c r="C111" s="407"/>
      <c r="D111" s="405"/>
      <c r="E111" s="405"/>
      <c r="F111" s="405"/>
      <c r="G111" s="409"/>
      <c r="I111" s="410"/>
      <c r="J111" s="407"/>
      <c r="L111" s="404"/>
      <c r="M111" s="407"/>
      <c r="N111" s="406"/>
      <c r="O111" s="406"/>
      <c r="Q111" s="405"/>
      <c r="R111" s="404"/>
    </row>
    <row r="112" spans="2:18" s="387" customFormat="1" ht="12">
      <c r="B112" s="405"/>
      <c r="C112" s="407"/>
      <c r="D112" s="405"/>
      <c r="E112" s="405"/>
      <c r="F112" s="405"/>
      <c r="G112" s="409"/>
      <c r="I112" s="410"/>
      <c r="J112" s="407"/>
      <c r="L112" s="404"/>
      <c r="M112" s="407"/>
      <c r="N112" s="406"/>
      <c r="O112" s="406"/>
      <c r="Q112" s="405"/>
      <c r="R112" s="404"/>
    </row>
    <row r="113" spans="2:18" s="387" customFormat="1" ht="12">
      <c r="B113" s="405"/>
      <c r="C113" s="407"/>
      <c r="D113" s="405"/>
      <c r="E113" s="405"/>
      <c r="F113" s="405"/>
      <c r="G113" s="409"/>
      <c r="I113" s="410"/>
      <c r="J113" s="407"/>
      <c r="L113" s="404"/>
      <c r="M113" s="407"/>
      <c r="N113" s="406"/>
      <c r="O113" s="406"/>
      <c r="Q113" s="405"/>
      <c r="R113" s="404"/>
    </row>
    <row r="114" spans="2:18" s="387" customFormat="1" ht="12">
      <c r="B114" s="405"/>
      <c r="C114" s="407"/>
      <c r="D114" s="405"/>
      <c r="E114" s="405"/>
      <c r="F114" s="405"/>
      <c r="G114" s="409"/>
      <c r="I114" s="410"/>
      <c r="J114" s="407"/>
      <c r="L114" s="404"/>
      <c r="M114" s="407"/>
      <c r="N114" s="406"/>
      <c r="O114" s="406"/>
      <c r="Q114" s="405"/>
      <c r="R114" s="404"/>
    </row>
    <row r="115" spans="2:18" s="387" customFormat="1" ht="12">
      <c r="B115" s="405"/>
      <c r="C115" s="407"/>
      <c r="D115" s="405"/>
      <c r="E115" s="405"/>
      <c r="F115" s="405"/>
      <c r="G115" s="409"/>
      <c r="I115" s="410"/>
      <c r="J115" s="407"/>
      <c r="L115" s="404"/>
      <c r="M115" s="407"/>
      <c r="N115" s="406"/>
      <c r="O115" s="406"/>
      <c r="Q115" s="405"/>
      <c r="R115" s="404"/>
    </row>
    <row r="116" spans="2:18" s="387" customFormat="1" ht="12">
      <c r="B116" s="405"/>
      <c r="C116" s="407"/>
      <c r="D116" s="405"/>
      <c r="E116" s="405"/>
      <c r="F116" s="405"/>
      <c r="G116" s="409"/>
      <c r="I116" s="410"/>
      <c r="J116" s="407"/>
      <c r="L116" s="404"/>
      <c r="M116" s="407"/>
      <c r="N116" s="406"/>
      <c r="O116" s="406"/>
      <c r="Q116" s="405"/>
      <c r="R116" s="404"/>
    </row>
    <row r="117" spans="2:18" s="387" customFormat="1" ht="12">
      <c r="B117" s="405"/>
      <c r="C117" s="407"/>
      <c r="D117" s="405"/>
      <c r="E117" s="405"/>
      <c r="F117" s="405"/>
      <c r="G117" s="409"/>
      <c r="I117" s="410"/>
      <c r="J117" s="407"/>
      <c r="L117" s="404"/>
      <c r="M117" s="407"/>
      <c r="N117" s="406"/>
      <c r="O117" s="406"/>
      <c r="Q117" s="405"/>
      <c r="R117" s="404"/>
    </row>
    <row r="118" spans="2:18" s="387" customFormat="1" ht="12">
      <c r="B118" s="405"/>
      <c r="C118" s="407"/>
      <c r="D118" s="405"/>
      <c r="E118" s="405"/>
      <c r="F118" s="405"/>
      <c r="G118" s="409"/>
      <c r="I118" s="410"/>
      <c r="J118" s="407"/>
      <c r="L118" s="404"/>
      <c r="M118" s="407"/>
      <c r="N118" s="406"/>
      <c r="O118" s="406"/>
      <c r="Q118" s="405"/>
      <c r="R118" s="404"/>
    </row>
    <row r="119" spans="2:18" s="387" customFormat="1" ht="12">
      <c r="B119" s="405"/>
      <c r="C119" s="407"/>
      <c r="D119" s="405"/>
      <c r="E119" s="405"/>
      <c r="F119" s="405"/>
      <c r="G119" s="409"/>
      <c r="I119" s="410"/>
      <c r="J119" s="407"/>
      <c r="L119" s="404"/>
      <c r="M119" s="407"/>
      <c r="N119" s="406"/>
      <c r="O119" s="406"/>
      <c r="Q119" s="405"/>
      <c r="R119" s="404"/>
    </row>
    <row r="120" spans="2:18" s="387" customFormat="1" ht="12">
      <c r="B120" s="405"/>
      <c r="C120" s="407"/>
      <c r="D120" s="405"/>
      <c r="E120" s="405"/>
      <c r="F120" s="405"/>
      <c r="G120" s="409"/>
      <c r="I120" s="410"/>
      <c r="J120" s="407"/>
      <c r="L120" s="404"/>
      <c r="M120" s="407"/>
      <c r="N120" s="406"/>
      <c r="O120" s="406"/>
      <c r="Q120" s="405"/>
      <c r="R120" s="404"/>
    </row>
    <row r="121" spans="2:18" s="387" customFormat="1" ht="12">
      <c r="B121" s="405"/>
      <c r="C121" s="407"/>
      <c r="D121" s="405"/>
      <c r="E121" s="405"/>
      <c r="F121" s="405"/>
      <c r="G121" s="409"/>
      <c r="I121" s="410"/>
      <c r="J121" s="407"/>
      <c r="L121" s="404"/>
      <c r="M121" s="407"/>
      <c r="N121" s="406"/>
      <c r="O121" s="406"/>
      <c r="Q121" s="405"/>
      <c r="R121" s="404"/>
    </row>
    <row r="122" spans="2:18" s="387" customFormat="1" ht="12">
      <c r="B122" s="405"/>
      <c r="C122" s="407"/>
      <c r="D122" s="405"/>
      <c r="E122" s="405"/>
      <c r="F122" s="405"/>
      <c r="G122" s="409"/>
      <c r="I122" s="410"/>
      <c r="J122" s="407"/>
      <c r="L122" s="404"/>
      <c r="M122" s="407"/>
      <c r="N122" s="406"/>
      <c r="O122" s="406"/>
      <c r="Q122" s="405"/>
      <c r="R122" s="404"/>
    </row>
    <row r="123" spans="2:18" s="387" customFormat="1" ht="12">
      <c r="B123" s="405"/>
      <c r="C123" s="407"/>
      <c r="D123" s="405"/>
      <c r="E123" s="405"/>
      <c r="F123" s="405"/>
      <c r="G123" s="409"/>
      <c r="I123" s="410"/>
      <c r="J123" s="407"/>
      <c r="L123" s="404"/>
      <c r="M123" s="407"/>
      <c r="N123" s="406"/>
      <c r="O123" s="406"/>
      <c r="Q123" s="405"/>
      <c r="R123" s="404"/>
    </row>
    <row r="124" spans="2:18" s="387" customFormat="1" ht="12">
      <c r="B124" s="405"/>
      <c r="C124" s="407"/>
      <c r="D124" s="405"/>
      <c r="E124" s="405"/>
      <c r="F124" s="405"/>
      <c r="G124" s="409"/>
      <c r="I124" s="410"/>
      <c r="J124" s="407"/>
      <c r="L124" s="404"/>
      <c r="M124" s="407"/>
      <c r="N124" s="406"/>
      <c r="O124" s="406"/>
      <c r="Q124" s="405"/>
      <c r="R124" s="404"/>
    </row>
    <row r="125" spans="2:18" s="387" customFormat="1" ht="12">
      <c r="B125" s="405"/>
      <c r="C125" s="407"/>
      <c r="D125" s="405"/>
      <c r="E125" s="405"/>
      <c r="F125" s="405"/>
      <c r="G125" s="409"/>
      <c r="I125" s="410"/>
      <c r="J125" s="407"/>
      <c r="L125" s="404"/>
      <c r="M125" s="407"/>
      <c r="N125" s="406"/>
      <c r="O125" s="406"/>
      <c r="Q125" s="405"/>
      <c r="R125" s="404"/>
    </row>
    <row r="126" spans="2:18" s="387" customFormat="1" ht="12">
      <c r="B126" s="405"/>
      <c r="C126" s="407"/>
      <c r="D126" s="405"/>
      <c r="E126" s="405"/>
      <c r="F126" s="405"/>
      <c r="G126" s="409"/>
      <c r="I126" s="410"/>
      <c r="J126" s="407"/>
      <c r="L126" s="404"/>
      <c r="M126" s="407"/>
      <c r="N126" s="406"/>
      <c r="O126" s="406"/>
      <c r="Q126" s="405"/>
      <c r="R126" s="404"/>
    </row>
    <row r="127" spans="2:18" s="387" customFormat="1" ht="12">
      <c r="B127" s="405"/>
      <c r="C127" s="407"/>
      <c r="D127" s="405"/>
      <c r="E127" s="405"/>
      <c r="F127" s="405"/>
      <c r="G127" s="409"/>
      <c r="I127" s="410"/>
      <c r="J127" s="407"/>
      <c r="L127" s="404"/>
      <c r="M127" s="407"/>
      <c r="N127" s="406"/>
      <c r="O127" s="406"/>
      <c r="Q127" s="405"/>
      <c r="R127" s="404"/>
    </row>
    <row r="128" spans="2:18" s="387" customFormat="1" ht="12">
      <c r="B128" s="405"/>
      <c r="C128" s="407"/>
      <c r="D128" s="405"/>
      <c r="E128" s="405"/>
      <c r="F128" s="405"/>
      <c r="G128" s="409"/>
      <c r="I128" s="410"/>
      <c r="J128" s="407"/>
      <c r="L128" s="404"/>
      <c r="M128" s="407"/>
      <c r="N128" s="406"/>
      <c r="O128" s="406"/>
      <c r="Q128" s="405"/>
      <c r="R128" s="404"/>
    </row>
    <row r="129" spans="2:18" s="387" customFormat="1" ht="12">
      <c r="B129" s="405"/>
      <c r="C129" s="407"/>
      <c r="D129" s="405"/>
      <c r="E129" s="405"/>
      <c r="F129" s="405"/>
      <c r="G129" s="409"/>
      <c r="I129" s="410"/>
      <c r="J129" s="407"/>
      <c r="L129" s="404"/>
      <c r="M129" s="407"/>
      <c r="N129" s="406"/>
      <c r="O129" s="406"/>
      <c r="Q129" s="405"/>
      <c r="R129" s="404"/>
    </row>
  </sheetData>
  <sheetProtection sheet="1" objects="1" scenarios="1"/>
  <mergeCells count="11">
    <mergeCell ref="H59:J59"/>
    <mergeCell ref="A3:F3"/>
    <mergeCell ref="H3:J3"/>
    <mergeCell ref="A12:F12"/>
    <mergeCell ref="H18:J18"/>
    <mergeCell ref="A25:F25"/>
    <mergeCell ref="H48:J48"/>
    <mergeCell ref="P1:S1"/>
    <mergeCell ref="L1:N1"/>
    <mergeCell ref="H1:J1"/>
    <mergeCell ref="A1:F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biergist gedroogd SAFALE US-05(56) 500 gr</dc:title>
  <dc:subject/>
  <dc:creator>Ronald BAERT</dc:creator>
  <cp:keywords/>
  <dc:description/>
  <cp:lastModifiedBy>Ronbaert</cp:lastModifiedBy>
  <cp:lastPrinted>2011-10-19T19:08:59Z</cp:lastPrinted>
  <dcterms:created xsi:type="dcterms:W3CDTF">2008-12-19T16:01:12Z</dcterms:created>
  <dcterms:modified xsi:type="dcterms:W3CDTF">2011-10-21T08:37:08Z</dcterms:modified>
  <cp:category/>
  <cp:version/>
  <cp:contentType/>
  <cp:contentStatus/>
</cp:coreProperties>
</file>